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فایل های مدرس\حقوق و دستمزد\"/>
    </mc:Choice>
  </mc:AlternateContent>
  <xr:revisionPtr revIDLastSave="0" documentId="13_ncr:1_{E5EB28B2-C824-4977-B9D5-5DB3D2702F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کارکرد ماهانه خرداد 1403" sheetId="1" r:id="rId1"/>
    <sheet name="Sheet1" sheetId="5" r:id="rId2"/>
    <sheet name="Sheet2" sheetId="6" r:id="rId3"/>
    <sheet name="Sheet3" sheetId="7" r:id="rId4"/>
    <sheet name="فیش حقوقی" sheetId="2" r:id="rId5"/>
    <sheet name="مالیات عیدی" sheetId="4" r:id="rId6"/>
  </sheets>
  <definedNames>
    <definedName name="_xlnm._FilterDatabase" localSheetId="0" hidden="1">'کارکرد ماهانه خرداد 1403'!$A$2:$AC$7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V14" i="1"/>
  <c r="V15" i="1"/>
  <c r="V13" i="1"/>
  <c r="W16" i="1"/>
  <c r="X6" i="1"/>
  <c r="X3" i="1"/>
  <c r="L3" i="1"/>
  <c r="B4" i="2"/>
  <c r="H3" i="1"/>
  <c r="R4" i="1" s="1"/>
  <c r="P3" i="1"/>
  <c r="O9" i="1" s="1"/>
  <c r="P4" i="1"/>
  <c r="P5" i="1"/>
  <c r="P6" i="1"/>
  <c r="N3" i="1"/>
  <c r="N4" i="1"/>
  <c r="N5" i="1"/>
  <c r="N6" i="1"/>
  <c r="M3" i="1"/>
  <c r="M4" i="1"/>
  <c r="M5" i="1"/>
  <c r="M6" i="1"/>
  <c r="L7" i="1"/>
  <c r="G3" i="1"/>
  <c r="I7" i="1"/>
  <c r="K7" i="1"/>
  <c r="O7" i="1"/>
  <c r="Q7" i="1"/>
  <c r="Z7" i="1"/>
  <c r="AA7" i="1"/>
  <c r="G7" i="1"/>
  <c r="G4" i="1"/>
  <c r="G5" i="1"/>
  <c r="G6" i="1"/>
  <c r="F7" i="1"/>
  <c r="E7" i="1"/>
  <c r="D7" i="1"/>
  <c r="K8" i="5"/>
  <c r="K7" i="5"/>
  <c r="I9" i="5"/>
  <c r="I5" i="5"/>
  <c r="M7" i="5"/>
  <c r="M4" i="5"/>
  <c r="G2" i="4"/>
  <c r="G3" i="4"/>
  <c r="C60" i="4"/>
  <c r="D60" i="4"/>
  <c r="F60" i="4"/>
  <c r="H4" i="1"/>
  <c r="H5" i="1"/>
  <c r="H6" i="1"/>
  <c r="D4" i="4"/>
  <c r="D57" i="4" s="1"/>
  <c r="D59" i="4" s="1"/>
  <c r="M7" i="1" l="1"/>
  <c r="D58" i="4"/>
  <c r="C54" i="4"/>
  <c r="C55" i="4"/>
  <c r="C56" i="4"/>
  <c r="F54" i="4"/>
  <c r="F55" i="4"/>
  <c r="F56" i="4"/>
  <c r="E54" i="4"/>
  <c r="E55" i="4"/>
  <c r="E56" i="4"/>
  <c r="E53" i="4"/>
  <c r="E60" i="4" s="1"/>
  <c r="D54" i="4"/>
  <c r="D55" i="4"/>
  <c r="D56" i="4"/>
  <c r="D53" i="4"/>
  <c r="E4" i="4"/>
  <c r="F4" i="4"/>
  <c r="F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D10" i="2"/>
  <c r="D9" i="2"/>
  <c r="C4" i="4" l="1"/>
  <c r="H7" i="1"/>
  <c r="F58" i="4"/>
  <c r="F57" i="4"/>
  <c r="F59" i="4" s="1"/>
  <c r="G4" i="4"/>
  <c r="E58" i="4"/>
  <c r="E57" i="4"/>
  <c r="E59" i="4" s="1"/>
  <c r="G53" i="4"/>
  <c r="G55" i="4"/>
  <c r="G54" i="4"/>
  <c r="G56" i="4"/>
  <c r="C57" i="4" l="1"/>
  <c r="C59" i="4" s="1"/>
  <c r="C58" i="4"/>
  <c r="L4" i="1"/>
  <c r="N7" i="1" l="1"/>
  <c r="B10" i="2"/>
  <c r="P7" i="1"/>
  <c r="V16" i="1"/>
  <c r="G18" i="1" l="1"/>
  <c r="G19" i="1"/>
  <c r="G17" i="1"/>
  <c r="B12" i="2"/>
  <c r="L6" i="1"/>
  <c r="L5" i="1"/>
  <c r="J4" i="1" l="1"/>
  <c r="R6" i="1"/>
  <c r="R5" i="1"/>
  <c r="G20" i="1"/>
  <c r="J6" i="1"/>
  <c r="S6" i="1" s="1"/>
  <c r="J3" i="1"/>
  <c r="S3" i="1" l="1"/>
  <c r="T3" i="1" s="1"/>
  <c r="B7" i="2"/>
  <c r="T6" i="1"/>
  <c r="R7" i="1"/>
  <c r="G21" i="1" s="1"/>
  <c r="S4" i="1"/>
  <c r="B11" i="2"/>
  <c r="B8" i="2"/>
  <c r="J5" i="1"/>
  <c r="S5" i="1" s="1"/>
  <c r="V6" i="1" l="1"/>
  <c r="W6" i="1"/>
  <c r="U6" i="1"/>
  <c r="AB6" i="1" s="1"/>
  <c r="AC6" i="1" s="1"/>
  <c r="H27" i="1" s="1"/>
  <c r="T4" i="1"/>
  <c r="T5" i="1"/>
  <c r="W3" i="1"/>
  <c r="V3" i="1"/>
  <c r="U3" i="1"/>
  <c r="J7" i="1"/>
  <c r="G16" i="1" s="1"/>
  <c r="B9" i="2"/>
  <c r="B13" i="2" s="1"/>
  <c r="S7" i="1"/>
  <c r="W4" i="1"/>
  <c r="V4" i="1"/>
  <c r="U4" i="1"/>
  <c r="V5" i="1" l="1"/>
  <c r="V7" i="1" s="1"/>
  <c r="G22" i="1" s="1"/>
  <c r="G32" i="1" s="1"/>
  <c r="W5" i="1"/>
  <c r="U5" i="1"/>
  <c r="AB5" i="1" s="1"/>
  <c r="AC5" i="1" s="1"/>
  <c r="H26" i="1" s="1"/>
  <c r="T7" i="1"/>
  <c r="W7" i="1"/>
  <c r="D7" i="2"/>
  <c r="U7" i="1"/>
  <c r="AB3" i="1"/>
  <c r="AC3" i="1" s="1"/>
  <c r="X7" i="1"/>
  <c r="H24" i="1" l="1"/>
  <c r="D8" i="2"/>
  <c r="D13" i="2" s="1"/>
  <c r="B14" i="2" s="1"/>
  <c r="Y7" i="1" l="1"/>
  <c r="H23" i="1" s="1"/>
  <c r="H28" i="1"/>
  <c r="AB4" i="1"/>
  <c r="AB7" i="1" l="1"/>
  <c r="AC4" i="1"/>
  <c r="AC7" i="1" s="1"/>
  <c r="H25" i="1" l="1"/>
  <c r="H32" i="1" s="1"/>
  <c r="H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D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اولین عامل محاسبه حقوق و دستمزد که برای هر نفر قابل توافق می باشد . ( به شرطی که از حداقل وزارت کار کمتر نباشد . ) / توجه کنید که حقوق پایه برای 30 روز است </t>
        </r>
      </text>
    </comment>
    <comment ref="E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برای کارکنانی که بیش از یک سال سابقه کار در این مجموعه را دارند 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عاملی توافقی و بر حسب شرح شغل شخص</t>
        </r>
      </text>
    </comment>
    <comment ref="H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حقوق روزانه بر مبنای حقوق پایه محاسبه می شود.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تعداد روزهایی که برای شخص حقوق در نظر می گیریم / غیبت ها از کارکرد شخص کسر می گردد.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کارکرد ماهانه در هر ماه متفاوت است و از ضرب حقوق روزانه در تهداد روز کارکرد محاسبه می شود.
</t>
        </r>
      </text>
    </comment>
    <comment ref="K2" authorId="0" shapeId="0" xr:uid="{00000000-0006-0000-0000-000007000000}">
      <text>
        <r>
          <rPr>
            <sz val="9"/>
            <color indexed="81"/>
            <rFont val="Tahoma"/>
            <family val="2"/>
          </rPr>
          <t>ابتدا ساعت کار موظفی هر ماه را باید محاسبه کنیم سپس با خالص کارکرد حضور شخص مقایسه کنیم.</t>
        </r>
      </text>
    </comment>
    <comment ref="L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مبلغ اضافه کاری 40 درصد بیش از ساعت کار عادی می باشد.</t>
        </r>
      </text>
    </comment>
  </commentList>
</comments>
</file>

<file path=xl/sharedStrings.xml><?xml version="1.0" encoding="utf-8"?>
<sst xmlns="http://schemas.openxmlformats.org/spreadsheetml/2006/main" count="184" uniqueCount="101">
  <si>
    <t>شماره پرسنلی</t>
  </si>
  <si>
    <t>نام و نام خانوادگی</t>
  </si>
  <si>
    <t>تاریخ استخدام</t>
  </si>
  <si>
    <t>حقوق پایه</t>
  </si>
  <si>
    <t>پایه سنوات</t>
  </si>
  <si>
    <t>حق سرپرستی</t>
  </si>
  <si>
    <t>حسین محمد پور</t>
  </si>
  <si>
    <t>مصطفی رستم پور</t>
  </si>
  <si>
    <t>نیلوفر عزیزی</t>
  </si>
  <si>
    <t>محمد سرلک</t>
  </si>
  <si>
    <t>1401/01/01</t>
  </si>
  <si>
    <t>حقوق به تبع شغل</t>
  </si>
  <si>
    <t>حقوق روزانه</t>
  </si>
  <si>
    <t>کارکرد ماهانه</t>
  </si>
  <si>
    <t>مبلغ اضافه کار</t>
  </si>
  <si>
    <t>تعداد اولاد</t>
  </si>
  <si>
    <t>حق اولاد</t>
  </si>
  <si>
    <t>تعداد روز ماموریت</t>
  </si>
  <si>
    <t>جمع کل حقوق و مزایا</t>
  </si>
  <si>
    <t>حقوق مشمول بیمه</t>
  </si>
  <si>
    <t>بیمه سهم کارگر</t>
  </si>
  <si>
    <t>بیمه سهم کارفرما</t>
  </si>
  <si>
    <t>بیمه بیکاری</t>
  </si>
  <si>
    <t>حقوق مشمول مالیات</t>
  </si>
  <si>
    <t>مالیات</t>
  </si>
  <si>
    <t>مساعده</t>
  </si>
  <si>
    <t>وام</t>
  </si>
  <si>
    <t>جمع کل کسور</t>
  </si>
  <si>
    <t>قابل پرداخت</t>
  </si>
  <si>
    <t xml:space="preserve">فیش حقوقی </t>
  </si>
  <si>
    <t>اطلاعات کارمند</t>
  </si>
  <si>
    <t>اطلاعات مربوط به حقوق</t>
  </si>
  <si>
    <t>مزایا</t>
  </si>
  <si>
    <t>کسور</t>
  </si>
  <si>
    <t xml:space="preserve">حق اولاد </t>
  </si>
  <si>
    <t>حق ماموریت</t>
  </si>
  <si>
    <t>جمع مزایا</t>
  </si>
  <si>
    <t>بیمه سهم کارمند</t>
  </si>
  <si>
    <t>مالیات حقوق</t>
  </si>
  <si>
    <t>جمع کسور</t>
  </si>
  <si>
    <t>سند حسابداری</t>
  </si>
  <si>
    <t>نام حساب معین</t>
  </si>
  <si>
    <t>نام تفصیل</t>
  </si>
  <si>
    <t>بدهکار</t>
  </si>
  <si>
    <t>بستانکار</t>
  </si>
  <si>
    <t>اضافه کار</t>
  </si>
  <si>
    <t>جمع</t>
  </si>
  <si>
    <t>حق بیمه کارفرما23</t>
  </si>
  <si>
    <t>حقوق پرداختنی</t>
  </si>
  <si>
    <t>30% حق بیمه پرداختنی</t>
  </si>
  <si>
    <t xml:space="preserve">j </t>
  </si>
  <si>
    <t xml:space="preserve"> ساعت اضافه کار</t>
  </si>
  <si>
    <t>کارکردماهانه</t>
  </si>
  <si>
    <t>نرخ مالیات حقوق سال 1402</t>
  </si>
  <si>
    <t>1402/03/01</t>
  </si>
  <si>
    <t>1402/01/01</t>
  </si>
  <si>
    <t>حق خواربار</t>
  </si>
  <si>
    <t>حق مسکن</t>
  </si>
  <si>
    <t xml:space="preserve">حق خواربار </t>
  </si>
  <si>
    <t>از</t>
  </si>
  <si>
    <t>تا</t>
  </si>
  <si>
    <t>نرخ مالیات</t>
  </si>
  <si>
    <t>مالیات متعلقه</t>
  </si>
  <si>
    <t xml:space="preserve">مالیات تجمیعی </t>
  </si>
  <si>
    <t>1402/12/20</t>
  </si>
  <si>
    <t>تعداد روز کارکرد ماه جاری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</si>
  <si>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</si>
  <si>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</si>
  <si>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</si>
  <si>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</si>
  <si>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</si>
  <si>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</si>
  <si>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</si>
  <si>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</si>
  <si>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</si>
  <si>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</si>
  <si>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</si>
  <si>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</si>
  <si>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12ماه</t>
  </si>
  <si>
    <t>تعداد روز
کارکرد</t>
  </si>
  <si>
    <t>مبلغ مشمول و غیر مشمول مالیات حقوق</t>
  </si>
  <si>
    <t>مبلغ مشمول 
مالیات حقوق</t>
  </si>
  <si>
    <t>مالیات  پرداختی
فرد در ماه مذکور</t>
  </si>
  <si>
    <t>مالیات  پرداختی
فرد در طی سال</t>
  </si>
  <si>
    <t>مبلغ عیدی</t>
  </si>
  <si>
    <t>مبلغ سنوات</t>
  </si>
  <si>
    <t>کل دریافتنی مشمول مالیات</t>
  </si>
  <si>
    <t>معافیت مالیاتی</t>
  </si>
  <si>
    <t>مشمول مالیات</t>
  </si>
  <si>
    <t>مالیات
پرداخت شده</t>
  </si>
  <si>
    <t>مالیات
 پرداختنی</t>
  </si>
  <si>
    <t>خالص مبلغ عیدی</t>
  </si>
  <si>
    <t>علی الحساب 
پرداختی عیدی</t>
  </si>
  <si>
    <t>پرداخت مابقی
 عیدی  
پرسنل</t>
  </si>
  <si>
    <t>مبلغ مشمول و غیر مشمول مالیات حقوق ( جمع کل حقوق و مزایا )</t>
  </si>
  <si>
    <t>حقوق به تبلع شغل</t>
  </si>
  <si>
    <t>مالیات نهایی پایان سال</t>
  </si>
  <si>
    <t>اطلاعات پایه</t>
  </si>
  <si>
    <t>1403/03/01</t>
  </si>
  <si>
    <t>1403/01/01</t>
  </si>
  <si>
    <t>خرداد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</si>
</sst>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_ * #,##0.00_-_ر_ي_ا_ل_ ;_ * #,##0.00\-_ر_ي_ا_ل_ ;_ * &quot;-&quot;??_-_ر_ي_ا_ل_ ;_ @_ "/>
    <numFmt numFmtId="167" formatCode="#,##0_ ;\-#,##0\ "/>
  </numFmts>
  <fonts count="16" x14ac:knownFonts="1">
    <font>
      <sz val="11"/>
      <name val="Calibri"/>
    </font>
    <font>
      <sz val="26"/>
      <color rgb="FF000000"/>
      <name val="B Nazanin"/>
      <charset val="178"/>
    </font>
    <font>
      <sz val="26"/>
      <color rgb="FF002060"/>
      <name val="B Nazanin"/>
      <charset val="178"/>
    </font>
    <font>
      <b/>
      <sz val="26"/>
      <color rgb="FF002060"/>
      <name val="B Nazanin"/>
      <charset val="178"/>
    </font>
    <font>
      <b/>
      <u val="doubleAccounting"/>
      <sz val="26"/>
      <color rgb="FF000000"/>
      <name val="B Nazanin"/>
      <charset val="178"/>
    </font>
    <font>
      <b/>
      <sz val="26"/>
      <color rgb="FFFF0000"/>
      <name val="B Nazanin"/>
      <charset val="178"/>
    </font>
    <font>
      <b/>
      <sz val="26"/>
      <name val="B Nazanin"/>
      <charset val="178"/>
    </font>
    <font>
      <b/>
      <sz val="26"/>
      <color rgb="FF000000"/>
      <name val="B Nazanin"/>
      <charset val="178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</font>
    <font>
      <sz val="11"/>
      <name val="Calibri"/>
    </font>
    <font>
      <sz val="26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164" fontId="10" fillId="0" borderId="0">
      <alignment vertical="top"/>
      <protection locked="0"/>
    </xf>
    <xf numFmtId="164" fontId="8" fillId="0" borderId="0">
      <alignment vertical="top"/>
      <protection locked="0"/>
    </xf>
    <xf numFmtId="9" fontId="14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3" fontId="1" fillId="0" borderId="0" xfId="1" applyNumberFormat="1" applyFont="1" applyAlignment="1" applyProtection="1">
      <alignment horizontal="center" vertical="center"/>
    </xf>
    <xf numFmtId="3" fontId="1" fillId="0" borderId="0" xfId="1" applyNumberFormat="1" applyFont="1" applyAlignment="1" applyProtection="1">
      <alignment horizontal="center" vertical="center" wrapText="1"/>
    </xf>
    <xf numFmtId="3" fontId="2" fillId="0" borderId="0" xfId="1" applyNumberFormat="1" applyFont="1" applyAlignment="1" applyProtection="1">
      <alignment horizontal="center" vertical="center"/>
    </xf>
    <xf numFmtId="3" fontId="3" fillId="2" borderId="1" xfId="1" applyNumberFormat="1" applyFont="1" applyFill="1" applyBorder="1" applyAlignment="1" applyProtection="1">
      <alignment horizontal="center" vertical="center"/>
    </xf>
    <xf numFmtId="3" fontId="3" fillId="2" borderId="2" xfId="1" applyNumberFormat="1" applyFont="1" applyFill="1" applyBorder="1" applyAlignment="1" applyProtection="1">
      <alignment horizontal="center" vertical="center"/>
    </xf>
    <xf numFmtId="3" fontId="3" fillId="2" borderId="2" xfId="1" applyNumberFormat="1" applyFont="1" applyFill="1" applyBorder="1" applyAlignment="1" applyProtection="1">
      <alignment horizontal="center" vertical="center" readingOrder="2"/>
    </xf>
    <xf numFmtId="3" fontId="3" fillId="2" borderId="2" xfId="1" applyNumberFormat="1" applyFont="1" applyFill="1" applyBorder="1" applyAlignment="1" applyProtection="1">
      <alignment horizontal="center" vertical="center" wrapText="1"/>
    </xf>
    <xf numFmtId="3" fontId="3" fillId="2" borderId="3" xfId="1" applyNumberFormat="1" applyFont="1" applyFill="1" applyBorder="1" applyAlignment="1" applyProtection="1">
      <alignment horizontal="center" vertical="center"/>
    </xf>
    <xf numFmtId="3" fontId="1" fillId="3" borderId="5" xfId="1" applyNumberFormat="1" applyFont="1" applyFill="1" applyBorder="1" applyAlignment="1" applyProtection="1">
      <alignment horizontal="center" vertical="center"/>
    </xf>
    <xf numFmtId="3" fontId="4" fillId="0" borderId="0" xfId="1" applyNumberFormat="1" applyFont="1" applyAlignment="1" applyProtection="1">
      <alignment horizontal="center" vertical="center"/>
    </xf>
    <xf numFmtId="3" fontId="4" fillId="5" borderId="7" xfId="1" applyNumberFormat="1" applyFont="1" applyFill="1" applyBorder="1" applyAlignment="1" applyProtection="1">
      <alignment horizontal="center" vertical="center"/>
    </xf>
    <xf numFmtId="3" fontId="6" fillId="2" borderId="10" xfId="1" applyNumberFormat="1" applyFont="1" applyFill="1" applyBorder="1" applyAlignment="1" applyProtection="1">
      <alignment horizontal="center" vertical="center"/>
    </xf>
    <xf numFmtId="3" fontId="6" fillId="2" borderId="13" xfId="1" applyNumberFormat="1" applyFont="1" applyFill="1" applyBorder="1" applyAlignment="1" applyProtection="1">
      <alignment horizontal="center" vertical="center"/>
    </xf>
    <xf numFmtId="3" fontId="6" fillId="2" borderId="12" xfId="1" applyNumberFormat="1" applyFont="1" applyFill="1" applyBorder="1" applyAlignment="1" applyProtection="1">
      <alignment horizontal="center" vertical="center"/>
    </xf>
    <xf numFmtId="3" fontId="1" fillId="3" borderId="14" xfId="1" applyNumberFormat="1" applyFont="1" applyFill="1" applyBorder="1" applyAlignment="1" applyProtection="1">
      <alignment horizontal="center" vertical="center"/>
    </xf>
    <xf numFmtId="3" fontId="1" fillId="3" borderId="15" xfId="1" applyNumberFormat="1" applyFont="1" applyFill="1" applyBorder="1" applyAlignment="1" applyProtection="1">
      <alignment horizontal="center" vertical="center"/>
    </xf>
    <xf numFmtId="3" fontId="1" fillId="3" borderId="16" xfId="1" applyNumberFormat="1" applyFont="1" applyFill="1" applyBorder="1" applyAlignment="1" applyProtection="1">
      <alignment horizontal="center" vertical="center"/>
    </xf>
    <xf numFmtId="3" fontId="1" fillId="3" borderId="18" xfId="1" applyNumberFormat="1" applyFont="1" applyFill="1" applyBorder="1" applyAlignment="1" applyProtection="1">
      <alignment horizontal="center" vertical="center"/>
    </xf>
    <xf numFmtId="3" fontId="7" fillId="7" borderId="13" xfId="1" applyNumberFormat="1" applyFont="1" applyFill="1" applyBorder="1" applyAlignment="1" applyProtection="1">
      <alignment horizontal="center" vertical="center"/>
    </xf>
    <xf numFmtId="3" fontId="7" fillId="8" borderId="13" xfId="1" applyNumberFormat="1" applyFont="1" applyFill="1" applyBorder="1" applyAlignment="1" applyProtection="1">
      <alignment horizontal="center" vertical="center"/>
    </xf>
    <xf numFmtId="3" fontId="7" fillId="9" borderId="13" xfId="1" applyNumberFormat="1" applyFont="1" applyFill="1" applyBorder="1" applyAlignment="1" applyProtection="1">
      <alignment horizontal="center" vertical="center"/>
    </xf>
    <xf numFmtId="3" fontId="7" fillId="10" borderId="13" xfId="1" applyNumberFormat="1" applyFont="1" applyFill="1" applyBorder="1" applyAlignment="1" applyProtection="1">
      <alignment horizontal="center" vertical="center"/>
    </xf>
    <xf numFmtId="3" fontId="7" fillId="11" borderId="13" xfId="1" applyNumberFormat="1" applyFont="1" applyFill="1" applyBorder="1" applyAlignment="1" applyProtection="1">
      <alignment horizontal="center" vertical="center"/>
    </xf>
    <xf numFmtId="3" fontId="1" fillId="3" borderId="20" xfId="1" applyNumberFormat="1" applyFont="1" applyFill="1" applyBorder="1" applyAlignment="1" applyProtection="1">
      <alignment horizontal="center" vertical="center"/>
    </xf>
    <xf numFmtId="3" fontId="1" fillId="3" borderId="21" xfId="1" applyNumberFormat="1" applyFont="1" applyFill="1" applyBorder="1" applyAlignment="1" applyProtection="1">
      <alignment horizontal="center" vertical="center"/>
    </xf>
    <xf numFmtId="3" fontId="7" fillId="8" borderId="22" xfId="1" applyNumberFormat="1" applyFont="1" applyFill="1" applyBorder="1" applyAlignment="1" applyProtection="1">
      <alignment horizontal="center" vertical="center"/>
    </xf>
    <xf numFmtId="3" fontId="7" fillId="9" borderId="22" xfId="1" applyNumberFormat="1" applyFont="1" applyFill="1" applyBorder="1" applyAlignment="1" applyProtection="1">
      <alignment horizontal="center" vertical="center"/>
    </xf>
    <xf numFmtId="3" fontId="7" fillId="10" borderId="22" xfId="1" applyNumberFormat="1" applyFont="1" applyFill="1" applyBorder="1" applyAlignment="1" applyProtection="1">
      <alignment horizontal="center" vertical="center"/>
    </xf>
    <xf numFmtId="3" fontId="7" fillId="11" borderId="22" xfId="1" applyNumberFormat="1" applyFont="1" applyFill="1" applyBorder="1" applyAlignment="1" applyProtection="1">
      <alignment horizontal="center" vertical="center"/>
    </xf>
    <xf numFmtId="3" fontId="7" fillId="12" borderId="23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6" borderId="30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13" borderId="30" xfId="0" applyFont="1" applyFill="1" applyBorder="1" applyAlignment="1">
      <alignment horizontal="center" vertical="center"/>
    </xf>
    <xf numFmtId="0" fontId="9" fillId="14" borderId="30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1" fillId="3" borderId="31" xfId="1" applyNumberFormat="1" applyFont="1" applyFill="1" applyBorder="1" applyAlignment="1" applyProtection="1">
      <alignment horizontal="center" vertical="center"/>
    </xf>
    <xf numFmtId="3" fontId="1" fillId="4" borderId="5" xfId="2" applyNumberFormat="1" applyFont="1" applyFill="1" applyBorder="1" applyAlignment="1" applyProtection="1">
      <alignment horizontal="center" vertical="center"/>
    </xf>
    <xf numFmtId="3" fontId="3" fillId="2" borderId="4" xfId="1" applyNumberFormat="1" applyFont="1" applyFill="1" applyBorder="1" applyAlignment="1" applyProtection="1">
      <alignment horizontal="center" vertical="center"/>
    </xf>
    <xf numFmtId="3" fontId="4" fillId="5" borderId="5" xfId="1" applyNumberFormat="1" applyFont="1" applyFill="1" applyBorder="1" applyAlignment="1" applyProtection="1">
      <alignment horizontal="center" vertical="center"/>
    </xf>
    <xf numFmtId="0" fontId="13" fillId="0" borderId="0" xfId="0" applyFont="1">
      <alignment vertical="center"/>
    </xf>
    <xf numFmtId="3" fontId="3" fillId="2" borderId="7" xfId="1" applyNumberFormat="1" applyFont="1" applyFill="1" applyBorder="1" applyAlignment="1" applyProtection="1">
      <alignment horizontal="center" vertical="center"/>
    </xf>
    <xf numFmtId="3" fontId="1" fillId="3" borderId="8" xfId="1" applyNumberFormat="1" applyFont="1" applyFill="1" applyBorder="1" applyAlignment="1" applyProtection="1">
      <alignment horizontal="center" vertical="center"/>
    </xf>
    <xf numFmtId="3" fontId="1" fillId="4" borderId="8" xfId="2" applyNumberFormat="1" applyFont="1" applyFill="1" applyBorder="1" applyAlignment="1" applyProtection="1">
      <alignment horizontal="center" vertical="center"/>
    </xf>
    <xf numFmtId="3" fontId="1" fillId="3" borderId="2" xfId="1" applyNumberFormat="1" applyFont="1" applyFill="1" applyBorder="1" applyAlignment="1" applyProtection="1">
      <alignment horizontal="center" vertical="center"/>
    </xf>
    <xf numFmtId="3" fontId="1" fillId="4" borderId="15" xfId="2" applyNumberFormat="1" applyFont="1" applyFill="1" applyBorder="1" applyAlignment="1" applyProtection="1">
      <alignment horizontal="center" vertical="center"/>
    </xf>
    <xf numFmtId="3" fontId="4" fillId="5" borderId="16" xfId="1" applyNumberFormat="1" applyFont="1" applyFill="1" applyBorder="1" applyAlignment="1" applyProtection="1">
      <alignment horizontal="center" vertical="center"/>
    </xf>
    <xf numFmtId="3" fontId="4" fillId="5" borderId="18" xfId="1" applyNumberFormat="1" applyFont="1" applyFill="1" applyBorder="1" applyAlignment="1" applyProtection="1">
      <alignment horizontal="center" vertical="center"/>
    </xf>
    <xf numFmtId="3" fontId="1" fillId="4" borderId="20" xfId="2" applyNumberFormat="1" applyFont="1" applyFill="1" applyBorder="1" applyAlignment="1" applyProtection="1">
      <alignment horizontal="center" vertical="center"/>
    </xf>
    <xf numFmtId="3" fontId="4" fillId="5" borderId="21" xfId="1" applyNumberFormat="1" applyFont="1" applyFill="1" applyBorder="1" applyAlignment="1" applyProtection="1">
      <alignment horizontal="center" vertical="center"/>
    </xf>
    <xf numFmtId="3" fontId="3" fillId="2" borderId="38" xfId="1" applyNumberFormat="1" applyFont="1" applyFill="1" applyBorder="1" applyAlignment="1" applyProtection="1">
      <alignment horizontal="center" vertical="center"/>
    </xf>
    <xf numFmtId="3" fontId="3" fillId="2" borderId="1" xfId="1" applyNumberFormat="1" applyFont="1" applyFill="1" applyBorder="1" applyAlignment="1" applyProtection="1">
      <alignment horizontal="center" vertical="center" wrapText="1"/>
    </xf>
    <xf numFmtId="3" fontId="3" fillId="2" borderId="37" xfId="1" applyNumberFormat="1" applyFont="1" applyFill="1" applyBorder="1" applyAlignment="1" applyProtection="1">
      <alignment horizontal="center" vertical="center" wrapText="1"/>
    </xf>
    <xf numFmtId="3" fontId="3" fillId="2" borderId="39" xfId="1" applyNumberFormat="1" applyFont="1" applyFill="1" applyBorder="1" applyAlignment="1" applyProtection="1">
      <alignment horizontal="center" vertical="center"/>
    </xf>
    <xf numFmtId="3" fontId="3" fillId="2" borderId="40" xfId="1" applyNumberFormat="1" applyFont="1" applyFill="1" applyBorder="1" applyAlignment="1" applyProtection="1">
      <alignment horizontal="center" vertical="center"/>
    </xf>
    <xf numFmtId="3" fontId="3" fillId="2" borderId="41" xfId="1" applyNumberFormat="1" applyFont="1" applyFill="1" applyBorder="1" applyAlignment="1" applyProtection="1">
      <alignment horizontal="center" vertical="center"/>
    </xf>
    <xf numFmtId="3" fontId="1" fillId="3" borderId="17" xfId="1" applyNumberFormat="1" applyFont="1" applyFill="1" applyBorder="1" applyAlignment="1" applyProtection="1">
      <alignment horizontal="center" vertical="center"/>
    </xf>
    <xf numFmtId="3" fontId="1" fillId="4" borderId="43" xfId="2" applyNumberFormat="1" applyFont="1" applyFill="1" applyBorder="1" applyAlignment="1" applyProtection="1">
      <alignment horizontal="center" vertical="center"/>
    </xf>
    <xf numFmtId="3" fontId="1" fillId="4" borderId="6" xfId="2" applyNumberFormat="1" applyFont="1" applyFill="1" applyBorder="1" applyAlignment="1" applyProtection="1">
      <alignment horizontal="center" vertical="center"/>
    </xf>
    <xf numFmtId="3" fontId="4" fillId="5" borderId="45" xfId="1" applyNumberFormat="1" applyFont="1" applyFill="1" applyBorder="1" applyAlignment="1" applyProtection="1">
      <alignment horizontal="center" vertical="center"/>
    </xf>
    <xf numFmtId="3" fontId="4" fillId="5" borderId="31" xfId="1" applyNumberFormat="1" applyFont="1" applyFill="1" applyBorder="1" applyAlignment="1" applyProtection="1">
      <alignment horizontal="center" vertical="center"/>
    </xf>
    <xf numFmtId="3" fontId="4" fillId="5" borderId="46" xfId="1" applyNumberFormat="1" applyFont="1" applyFill="1" applyBorder="1" applyAlignment="1" applyProtection="1">
      <alignment horizontal="center" vertical="center"/>
    </xf>
    <xf numFmtId="3" fontId="3" fillId="2" borderId="32" xfId="1" applyNumberFormat="1" applyFont="1" applyFill="1" applyBorder="1" applyAlignment="1" applyProtection="1">
      <alignment horizontal="center" vertical="center"/>
    </xf>
    <xf numFmtId="3" fontId="1" fillId="3" borderId="48" xfId="1" applyNumberFormat="1" applyFont="1" applyFill="1" applyBorder="1" applyAlignment="1" applyProtection="1">
      <alignment horizontal="center" vertical="center"/>
    </xf>
    <xf numFmtId="3" fontId="1" fillId="4" borderId="9" xfId="2" applyNumberFormat="1" applyFont="1" applyFill="1" applyBorder="1" applyAlignment="1" applyProtection="1">
      <alignment horizontal="center" vertical="center"/>
    </xf>
    <xf numFmtId="3" fontId="4" fillId="5" borderId="49" xfId="1" applyNumberFormat="1" applyFont="1" applyFill="1" applyBorder="1" applyAlignment="1" applyProtection="1">
      <alignment horizontal="center" vertical="center"/>
    </xf>
    <xf numFmtId="3" fontId="3" fillId="2" borderId="33" xfId="1" applyNumberFormat="1" applyFont="1" applyFill="1" applyBorder="1" applyAlignment="1" applyProtection="1">
      <alignment horizontal="center" vertical="center"/>
    </xf>
    <xf numFmtId="3" fontId="3" fillId="16" borderId="32" xfId="1" applyNumberFormat="1" applyFont="1" applyFill="1" applyBorder="1" applyAlignment="1" applyProtection="1">
      <alignment horizontal="center" vertical="center"/>
    </xf>
    <xf numFmtId="3" fontId="1" fillId="16" borderId="9" xfId="2" applyNumberFormat="1" applyFont="1" applyFill="1" applyBorder="1" applyAlignment="1" applyProtection="1">
      <alignment horizontal="center" vertical="center"/>
    </xf>
    <xf numFmtId="3" fontId="1" fillId="16" borderId="48" xfId="1" applyNumberFormat="1" applyFont="1" applyFill="1" applyBorder="1" applyAlignment="1" applyProtection="1">
      <alignment horizontal="center" vertical="center"/>
    </xf>
    <xf numFmtId="3" fontId="1" fillId="16" borderId="8" xfId="2" applyNumberFormat="1" applyFont="1" applyFill="1" applyBorder="1" applyAlignment="1" applyProtection="1">
      <alignment horizontal="center" vertical="center"/>
    </xf>
    <xf numFmtId="3" fontId="1" fillId="16" borderId="8" xfId="1" applyNumberFormat="1" applyFont="1" applyFill="1" applyBorder="1" applyAlignment="1" applyProtection="1">
      <alignment horizontal="center" vertical="center"/>
    </xf>
    <xf numFmtId="3" fontId="4" fillId="16" borderId="49" xfId="1" applyNumberFormat="1" applyFont="1" applyFill="1" applyBorder="1" applyAlignment="1" applyProtection="1">
      <alignment horizontal="center" vertical="center"/>
    </xf>
    <xf numFmtId="3" fontId="3" fillId="16" borderId="50" xfId="1" applyNumberFormat="1" applyFont="1" applyFill="1" applyBorder="1" applyAlignment="1" applyProtection="1">
      <alignment horizontal="center" vertical="center"/>
    </xf>
    <xf numFmtId="3" fontId="1" fillId="16" borderId="35" xfId="2" applyNumberFormat="1" applyFont="1" applyFill="1" applyBorder="1" applyAlignment="1" applyProtection="1">
      <alignment horizontal="center" vertical="center"/>
    </xf>
    <xf numFmtId="3" fontId="1" fillId="16" borderId="36" xfId="1" applyNumberFormat="1" applyFont="1" applyFill="1" applyBorder="1" applyAlignment="1" applyProtection="1">
      <alignment horizontal="center" vertical="center"/>
    </xf>
    <xf numFmtId="3" fontId="1" fillId="16" borderId="34" xfId="2" applyNumberFormat="1" applyFont="1" applyFill="1" applyBorder="1" applyAlignment="1" applyProtection="1">
      <alignment horizontal="center" vertical="center"/>
    </xf>
    <xf numFmtId="3" fontId="1" fillId="16" borderId="34" xfId="1" applyNumberFormat="1" applyFont="1" applyFill="1" applyBorder="1" applyAlignment="1" applyProtection="1">
      <alignment horizontal="center" vertical="center"/>
    </xf>
    <xf numFmtId="3" fontId="4" fillId="16" borderId="22" xfId="1" applyNumberFormat="1" applyFont="1" applyFill="1" applyBorder="1" applyAlignment="1" applyProtection="1">
      <alignment horizontal="center" vertical="center"/>
    </xf>
    <xf numFmtId="3" fontId="3" fillId="16" borderId="42" xfId="1" applyNumberFormat="1" applyFont="1" applyFill="1" applyBorder="1" applyAlignment="1" applyProtection="1">
      <alignment horizontal="center" vertical="center"/>
    </xf>
    <xf numFmtId="3" fontId="1" fillId="16" borderId="44" xfId="2" applyNumberFormat="1" applyFont="1" applyFill="1" applyBorder="1" applyAlignment="1" applyProtection="1">
      <alignment horizontal="center" vertical="center"/>
    </xf>
    <xf numFmtId="3" fontId="1" fillId="16" borderId="19" xfId="1" applyNumberFormat="1" applyFont="1" applyFill="1" applyBorder="1" applyAlignment="1" applyProtection="1">
      <alignment horizontal="center" vertical="center"/>
    </xf>
    <xf numFmtId="3" fontId="1" fillId="16" borderId="20" xfId="2" applyNumberFormat="1" applyFont="1" applyFill="1" applyBorder="1" applyAlignment="1" applyProtection="1">
      <alignment horizontal="center" vertical="center"/>
    </xf>
    <xf numFmtId="3" fontId="1" fillId="16" borderId="20" xfId="1" applyNumberFormat="1" applyFont="1" applyFill="1" applyBorder="1" applyAlignment="1" applyProtection="1">
      <alignment horizontal="center" vertical="center"/>
    </xf>
    <xf numFmtId="3" fontId="4" fillId="16" borderId="47" xfId="1" applyNumberFormat="1" applyFont="1" applyFill="1" applyBorder="1" applyAlignment="1" applyProtection="1">
      <alignment horizontal="center" vertical="center"/>
    </xf>
    <xf numFmtId="165" fontId="10" fillId="0" borderId="0" xfId="1" applyNumberFormat="1">
      <alignment vertical="top"/>
      <protection locked="0"/>
    </xf>
    <xf numFmtId="165" fontId="10" fillId="6" borderId="0" xfId="1" applyNumberFormat="1" applyFill="1">
      <alignment vertical="top"/>
      <protection locked="0"/>
    </xf>
    <xf numFmtId="165" fontId="0" fillId="0" borderId="0" xfId="0" applyNumberFormat="1">
      <alignment vertical="center"/>
    </xf>
    <xf numFmtId="166" fontId="0" fillId="0" borderId="0" xfId="0" applyNumberFormat="1">
      <alignment vertical="center"/>
    </xf>
    <xf numFmtId="3" fontId="4" fillId="6" borderId="7" xfId="1" applyNumberFormat="1" applyFont="1" applyFill="1" applyBorder="1" applyAlignment="1" applyProtection="1">
      <alignment horizontal="center" vertical="center"/>
    </xf>
    <xf numFmtId="167" fontId="10" fillId="0" borderId="0" xfId="1" applyNumberFormat="1" applyAlignment="1">
      <alignment horizontal="center" vertical="top"/>
      <protection locked="0"/>
    </xf>
    <xf numFmtId="3" fontId="7" fillId="6" borderId="13" xfId="1" applyNumberFormat="1" applyFont="1" applyFill="1" applyBorder="1" applyAlignment="1" applyProtection="1">
      <alignment horizontal="center" vertical="center"/>
    </xf>
    <xf numFmtId="3" fontId="5" fillId="2" borderId="10" xfId="1" applyNumberFormat="1" applyFont="1" applyFill="1" applyBorder="1" applyAlignment="1" applyProtection="1">
      <alignment horizontal="center" vertical="center"/>
    </xf>
    <xf numFmtId="3" fontId="5" fillId="2" borderId="11" xfId="1" applyNumberFormat="1" applyFont="1" applyFill="1" applyBorder="1" applyAlignment="1" applyProtection="1">
      <alignment horizontal="center" vertical="center"/>
    </xf>
    <xf numFmtId="3" fontId="5" fillId="2" borderId="12" xfId="1" applyNumberFormat="1" applyFont="1" applyFill="1" applyBorder="1" applyAlignment="1" applyProtection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3" fontId="9" fillId="15" borderId="10" xfId="0" applyNumberFormat="1" applyFont="1" applyFill="1" applyBorder="1" applyAlignment="1">
      <alignment horizontal="center" vertical="center"/>
    </xf>
    <xf numFmtId="3" fontId="9" fillId="15" borderId="11" xfId="0" applyNumberFormat="1" applyFont="1" applyFill="1" applyBorder="1" applyAlignment="1">
      <alignment horizontal="center" vertical="center"/>
    </xf>
    <xf numFmtId="3" fontId="9" fillId="15" borderId="12" xfId="0" applyNumberFormat="1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0" fillId="16" borderId="22" xfId="0" applyFill="1" applyBorder="1" applyAlignment="1">
      <alignment horizontal="center" vertical="center" textRotation="90"/>
    </xf>
    <xf numFmtId="0" fontId="0" fillId="16" borderId="51" xfId="0" applyFill="1" applyBorder="1" applyAlignment="1">
      <alignment horizontal="center" vertical="center" textRotation="90"/>
    </xf>
    <xf numFmtId="0" fontId="0" fillId="16" borderId="30" xfId="0" applyFill="1" applyBorder="1" applyAlignment="1">
      <alignment horizontal="center" vertical="center" textRotation="90"/>
    </xf>
    <xf numFmtId="0" fontId="13" fillId="0" borderId="22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15" fillId="9" borderId="2" xfId="1" applyNumberFormat="1" applyFont="1" applyFill="1" applyBorder="1">
      <alignment vertical="top"/>
      <protection locked="0"/>
    </xf>
    <xf numFmtId="9" fontId="1" fillId="3" borderId="14" xfId="3" applyFont="1" applyFill="1" applyBorder="1" applyAlignment="1" applyProtection="1">
      <alignment horizontal="center" vertical="center"/>
    </xf>
    <xf numFmtId="9" fontId="1" fillId="3" borderId="17" xfId="3" applyFont="1" applyFill="1" applyBorder="1" applyAlignment="1" applyProtection="1">
      <alignment horizontal="center" vertical="center"/>
    </xf>
    <xf numFmtId="9" fontId="1" fillId="3" borderId="19" xfId="3" applyFont="1" applyFill="1" applyBorder="1" applyAlignment="1" applyProtection="1">
      <alignment horizontal="center" vertical="center"/>
    </xf>
  </cellXfs>
  <cellStyles count="4">
    <cellStyle name="Comma" xfId="1" builtinId="3"/>
    <cellStyle name="Comma 2" xfId="2" xr:uid="{00000000-0005-0000-0000-000001000000}"/>
    <cellStyle name="Normal" xfId="0" builtinId="0"/>
    <cellStyle name="Percent" xfId="3" builtinId="5"/>
  </cellStyles>
  <dxfs count="35"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</font>
      <numFmt numFmtId="3" formatCode="#,##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C5E0B3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 style="thin">
          <color indexed="64"/>
        </top>
        <bottom/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26"/>
        <color rgb="FF000000"/>
      </font>
      <numFmt numFmtId="3" formatCode="#,##0"/>
      <fill>
        <patternFill patternType="solid">
          <bgColor rgb="FFFFD865"/>
        </patternFill>
      </fill>
    </dxf>
    <dxf>
      <border>
        <left/>
        <right/>
        <top/>
        <bottom style="thin">
          <color indexed="64"/>
        </bottom>
      </border>
    </dxf>
    <dxf>
      <font>
        <b/>
        <sz val="26"/>
        <color rgb="FF002060"/>
      </font>
      <numFmt numFmtId="3" formatCode="#,##0"/>
      <fill>
        <patternFill>
          <bgColor rgb="FFFFCCFF"/>
        </patternFill>
      </fill>
      <border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0/cellImage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1206500</xdr:colOff>
      <xdr:row>7</xdr:row>
      <xdr:rowOff>753070</xdr:rowOff>
    </xdr:from>
    <xdr:to>
      <xdr:col>6</xdr:col>
      <xdr:colOff>2283874</xdr:colOff>
      <xdr:row>11</xdr:row>
      <xdr:rowOff>247054</xdr:rowOff>
    </xdr:to>
    <xdr:pic>
      <xdr:nvPicPr>
        <xdr:cNvPr id="2" name="Picture 13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33654" b="51603"/>
        <a:stretch>
          <a:fillRect/>
        </a:stretch>
      </xdr:blipFill>
      <xdr:spPr>
        <a:xfrm>
          <a:off x="9936005876" y="5833070"/>
          <a:ext cx="7459124" cy="254198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0</xdr:col>
      <xdr:colOff>0</xdr:colOff>
      <xdr:row>7</xdr:row>
      <xdr:rowOff>696515</xdr:rowOff>
    </xdr:from>
    <xdr:to>
      <xdr:col>3</xdr:col>
      <xdr:colOff>981696</xdr:colOff>
      <xdr:row>11</xdr:row>
      <xdr:rowOff>125015</xdr:rowOff>
    </xdr:to>
    <xdr:pic>
      <xdr:nvPicPr>
        <xdr:cNvPr id="3" name="Picture 15" descr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t="11634" b="73933"/>
        <a:stretch>
          <a:fillRect/>
        </a:stretch>
      </xdr:blipFill>
      <xdr:spPr>
        <a:xfrm>
          <a:off x="1356260864" y="6032500"/>
          <a:ext cx="10699776" cy="24765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7</xdr:col>
      <xdr:colOff>1999368</xdr:colOff>
      <xdr:row>8</xdr:row>
      <xdr:rowOff>157757</xdr:rowOff>
    </xdr:from>
    <xdr:to>
      <xdr:col>10</xdr:col>
      <xdr:colOff>1650467</xdr:colOff>
      <xdr:row>11</xdr:row>
      <xdr:rowOff>119062</xdr:rowOff>
    </xdr:to>
    <xdr:pic>
      <xdr:nvPicPr>
        <xdr:cNvPr id="4" name="Picture 17" descr="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t="55020" b="30868"/>
        <a:stretch>
          <a:fillRect/>
        </a:stretch>
      </xdr:blipFill>
      <xdr:spPr>
        <a:xfrm>
          <a:off x="9923717033" y="5999757"/>
          <a:ext cx="8953849" cy="224730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2544781</xdr:colOff>
      <xdr:row>9</xdr:row>
      <xdr:rowOff>608919</xdr:rowOff>
    </xdr:from>
    <xdr:to>
      <xdr:col>17</xdr:col>
      <xdr:colOff>2034180</xdr:colOff>
      <xdr:row>12</xdr:row>
      <xdr:rowOff>710122</xdr:rowOff>
    </xdr:to>
    <xdr:pic>
      <xdr:nvPicPr>
        <xdr:cNvPr id="5" name="Picture 19" descr="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67618" b="15351"/>
        <a:stretch>
          <a:fillRect/>
        </a:stretch>
      </xdr:blipFill>
      <xdr:spPr>
        <a:xfrm>
          <a:off x="10051576105" y="7221990"/>
          <a:ext cx="8061899" cy="238720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11</xdr:col>
      <xdr:colOff>601109</xdr:colOff>
      <xdr:row>7</xdr:row>
      <xdr:rowOff>83768</xdr:rowOff>
    </xdr:from>
    <xdr:to>
      <xdr:col>14</xdr:col>
      <xdr:colOff>220709</xdr:colOff>
      <xdr:row>10</xdr:row>
      <xdr:rowOff>717776</xdr:rowOff>
    </xdr:to>
    <xdr:pic>
      <xdr:nvPicPr>
        <xdr:cNvPr id="6" name="Picture 21" descr="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rcRect t="81298"/>
        <a:stretch>
          <a:fillRect/>
        </a:stretch>
      </xdr:blipFill>
      <xdr:spPr>
        <a:xfrm>
          <a:off x="10061962076" y="5172839"/>
          <a:ext cx="7212386" cy="292000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C7" headerRowDxfId="34" dataDxfId="32" totalsRowDxfId="30" headerRowBorderDxfId="33" tableBorderDxfId="31" totalsRowBorderDxfId="29" headerRowCellStyle="Comma" dataCellStyle="Comma">
  <autoFilter ref="A2:AC7" xr:uid="{00000000-0009-0000-0100-000001000000}"/>
  <tableColumns count="29">
    <tableColumn id="1" xr3:uid="{00000000-0010-0000-0000-000001000000}" name="شماره پرسنلی" dataDxfId="28" dataCellStyle="Comma"/>
    <tableColumn id="2" xr3:uid="{00000000-0010-0000-0000-000002000000}" name="نام و نام خانوادگی" dataDxfId="27" dataCellStyle="Comma"/>
    <tableColumn id="3" xr3:uid="{00000000-0010-0000-0000-000003000000}" name="تاریخ استخدام" dataDxfId="26" dataCellStyle="Comma"/>
    <tableColumn id="4" xr3:uid="{00000000-0010-0000-0000-000004000000}" name="حقوق پایه" dataDxfId="25" dataCellStyle="Comma"/>
    <tableColumn id="5" xr3:uid="{00000000-0010-0000-0000-000005000000}" name="پایه سنوات" dataDxfId="24" dataCellStyle="Comma"/>
    <tableColumn id="6" xr3:uid="{00000000-0010-0000-0000-000006000000}" name="حق سرپرستی" dataDxfId="23" dataCellStyle="Comma"/>
    <tableColumn id="7" xr3:uid="{00000000-0010-0000-0000-000007000000}" name="حقوق به تبع شغل" dataDxfId="22" dataCellStyle="Comma"/>
    <tableColumn id="8" xr3:uid="{00000000-0010-0000-0000-000008000000}" name="حقوق روزانه" dataDxfId="21" dataCellStyle="Comma"/>
    <tableColumn id="9" xr3:uid="{00000000-0010-0000-0000-000009000000}" name="تعداد روز کارکرد ماه جاری" dataDxfId="20" dataCellStyle="Comma"/>
    <tableColumn id="10" xr3:uid="{00000000-0010-0000-0000-00000A000000}" name="کارکرد ماهانه" dataDxfId="19" dataCellStyle="Comma"/>
    <tableColumn id="11" xr3:uid="{00000000-0010-0000-0000-00000B000000}" name=" ساعت اضافه کار" dataDxfId="18" dataCellStyle="Comma"/>
    <tableColumn id="12" xr3:uid="{00000000-0010-0000-0000-00000C000000}" name="مبلغ اضافه کار" dataDxfId="17" dataCellStyle="Comma"/>
    <tableColumn id="13" xr3:uid="{00000000-0010-0000-0000-00000D000000}" name="حق خواربار" dataDxfId="16" dataCellStyle="Comma"/>
    <tableColumn id="29" xr3:uid="{00000000-0010-0000-0000-00001D000000}" name="حق مسکن" dataDxfId="15" dataCellStyle="Comma"/>
    <tableColumn id="14" xr3:uid="{00000000-0010-0000-0000-00000E000000}" name="تعداد اولاد" dataDxfId="14" dataCellStyle="Comma"/>
    <tableColumn id="15" xr3:uid="{00000000-0010-0000-0000-00000F000000}" name="حق اولاد" dataDxfId="13" dataCellStyle="Comma"/>
    <tableColumn id="16" xr3:uid="{00000000-0010-0000-0000-000010000000}" name="تعداد روز ماموریت" dataDxfId="12" dataCellStyle="Comma"/>
    <tableColumn id="17" xr3:uid="{00000000-0010-0000-0000-000011000000}" name="حق ماموریت" dataDxfId="11" dataCellStyle="Comma"/>
    <tableColumn id="18" xr3:uid="{00000000-0010-0000-0000-000012000000}" name="جمع کل حقوق و مزایا" dataDxfId="10" dataCellStyle="Comma"/>
    <tableColumn id="19" xr3:uid="{00000000-0010-0000-0000-000013000000}" name="حقوق مشمول بیمه" dataDxfId="9" dataCellStyle="Comma"/>
    <tableColumn id="20" xr3:uid="{00000000-0010-0000-0000-000014000000}" name="بیمه سهم کارگر" dataDxfId="8" dataCellStyle="Comma"/>
    <tableColumn id="21" xr3:uid="{00000000-0010-0000-0000-000015000000}" name="بیمه سهم کارفرما" dataDxfId="7" dataCellStyle="Comma"/>
    <tableColumn id="22" xr3:uid="{00000000-0010-0000-0000-000016000000}" name="بیمه بیکاری" dataDxfId="6" dataCellStyle="Comma"/>
    <tableColumn id="23" xr3:uid="{00000000-0010-0000-0000-000017000000}" name="حقوق مشمول مالیات" dataDxfId="5" dataCellStyle="Comma"/>
    <tableColumn id="24" xr3:uid="{00000000-0010-0000-0000-000018000000}" name="مالیات" dataDxfId="4" dataCellStyle="Comma"/>
    <tableColumn id="25" xr3:uid="{00000000-0010-0000-0000-000019000000}" name="مساعده" dataDxfId="3" dataCellStyle="Comma"/>
    <tableColumn id="26" xr3:uid="{00000000-0010-0000-0000-00001A000000}" name="وام" dataDxfId="2" dataCellStyle="Comma"/>
    <tableColumn id="27" xr3:uid="{00000000-0010-0000-0000-00001B000000}" name="جمع کل کسور" dataDxfId="1" dataCellStyle="Comma"/>
    <tableColumn id="28" xr3:uid="{00000000-0010-0000-0000-00001C000000}" name="قابل پرداخت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5911"/>
  </sheetPr>
  <dimension ref="A1:AC37"/>
  <sheetViews>
    <sheetView rightToLeft="1" tabSelected="1" topLeftCell="V1" zoomScale="70" zoomScaleNormal="70" workbookViewId="0">
      <selection activeCell="Y3" sqref="Y3"/>
    </sheetView>
  </sheetViews>
  <sheetFormatPr defaultColWidth="9.140625" defaultRowHeight="60" customHeight="1" x14ac:dyDescent="0.25"/>
  <cols>
    <col min="1" max="1" width="45.42578125" style="1" customWidth="1"/>
    <col min="2" max="2" width="54.85546875" style="1" customWidth="1"/>
    <col min="3" max="3" width="45.85546875" style="1" customWidth="1"/>
    <col min="4" max="4" width="37.7109375" style="1" bestFit="1" customWidth="1"/>
    <col min="5" max="5" width="51.140625" style="1" bestFit="1" customWidth="1"/>
    <col min="6" max="6" width="44.85546875" style="1" bestFit="1" customWidth="1"/>
    <col min="7" max="7" width="54.42578125" style="1" customWidth="1"/>
    <col min="8" max="8" width="42" style="1" customWidth="1"/>
    <col min="9" max="9" width="52.5703125" style="1" customWidth="1"/>
    <col min="10" max="10" width="45.42578125" style="1" customWidth="1"/>
    <col min="11" max="11" width="50.5703125" style="1" customWidth="1"/>
    <col min="12" max="12" width="47.140625" style="1" customWidth="1"/>
    <col min="13" max="13" width="40.140625" style="1" customWidth="1"/>
    <col min="14" max="14" width="26.42578125" style="1" bestFit="1" customWidth="1"/>
    <col min="15" max="15" width="39.140625" style="1" customWidth="1"/>
    <col min="16" max="16" width="34.85546875" style="1" customWidth="1"/>
    <col min="17" max="17" width="54.42578125" style="1" customWidth="1"/>
    <col min="18" max="18" width="42" style="1" customWidth="1"/>
    <col min="19" max="19" width="62" style="1" customWidth="1"/>
    <col min="20" max="20" width="55.85546875" style="1" customWidth="1"/>
    <col min="21" max="21" width="50.140625" style="1" customWidth="1"/>
    <col min="22" max="22" width="53.42578125" style="1" customWidth="1"/>
    <col min="23" max="23" width="41.5703125" style="1" customWidth="1"/>
    <col min="24" max="24" width="60.140625" style="1" customWidth="1"/>
    <col min="25" max="25" width="37.28515625" style="2" customWidth="1"/>
    <col min="26" max="26" width="32" style="1" customWidth="1"/>
    <col min="27" max="27" width="27.7109375" style="1" customWidth="1"/>
    <col min="28" max="28" width="47.140625" style="1" customWidth="1"/>
    <col min="29" max="29" width="43.42578125" style="1" customWidth="1"/>
    <col min="30" max="31" width="25.7109375" style="1" customWidth="1"/>
    <col min="32" max="16384" width="9.140625" style="1"/>
  </cols>
  <sheetData>
    <row r="1" spans="1:29" ht="40.5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</row>
    <row r="2" spans="1:29" s="3" customFormat="1" ht="60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11</v>
      </c>
      <c r="H2" s="5" t="s">
        <v>12</v>
      </c>
      <c r="I2" s="5" t="s">
        <v>65</v>
      </c>
      <c r="J2" s="5" t="s">
        <v>13</v>
      </c>
      <c r="K2" s="6" t="s">
        <v>51</v>
      </c>
      <c r="L2" s="5" t="s">
        <v>14</v>
      </c>
      <c r="M2" s="5" t="s">
        <v>56</v>
      </c>
      <c r="N2" s="5" t="s">
        <v>57</v>
      </c>
      <c r="O2" s="5" t="s">
        <v>15</v>
      </c>
      <c r="P2" s="5" t="s">
        <v>16</v>
      </c>
      <c r="Q2" s="5" t="s">
        <v>17</v>
      </c>
      <c r="R2" s="5" t="s">
        <v>35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7" t="s">
        <v>24</v>
      </c>
      <c r="Z2" s="5" t="s">
        <v>25</v>
      </c>
      <c r="AA2" s="5" t="s">
        <v>26</v>
      </c>
      <c r="AB2" s="5" t="s">
        <v>27</v>
      </c>
      <c r="AC2" s="8" t="s">
        <v>28</v>
      </c>
    </row>
    <row r="3" spans="1:29" ht="60" customHeight="1" x14ac:dyDescent="0.25">
      <c r="A3" s="42">
        <v>1001</v>
      </c>
      <c r="B3" s="42" t="s">
        <v>9</v>
      </c>
      <c r="C3" s="42" t="s">
        <v>64</v>
      </c>
      <c r="D3" s="42">
        <v>71661840</v>
      </c>
      <c r="E3" s="42"/>
      <c r="F3" s="42"/>
      <c r="G3" s="42">
        <f>D3+E3+F3</f>
        <v>71661840</v>
      </c>
      <c r="H3" s="42">
        <f>Table1[[#This Row],[حقوق به تبع شغل]]/30</f>
        <v>2388728</v>
      </c>
      <c r="I3" s="42">
        <v>10</v>
      </c>
      <c r="J3" s="42">
        <f>H3*I3</f>
        <v>23887280</v>
      </c>
      <c r="K3" s="42"/>
      <c r="L3" s="42">
        <f>G3/220*1.4*K3</f>
        <v>0</v>
      </c>
      <c r="M3" s="42">
        <f>14000000/31*Table1[[#This Row],[تعداد روز کارکرد ماه جاری]]</f>
        <v>4516129.0322580645</v>
      </c>
      <c r="N3" s="42">
        <f>9000000/31*Table1[[#This Row],[تعداد روز کارکرد ماه جاری]]</f>
        <v>2903225.8064516126</v>
      </c>
      <c r="O3" s="42">
        <v>2</v>
      </c>
      <c r="P3" s="42">
        <f>71661840*10%*Table1[[#This Row],[تعداد اولاد]]/31*Table1[[#This Row],[تعداد روز کارکرد ماه جاری]]</f>
        <v>4623344.5161290318</v>
      </c>
      <c r="Q3" s="42">
        <v>1</v>
      </c>
      <c r="R3" s="117"/>
      <c r="S3" s="42">
        <f>Table1[[#This Row],[کارکرد ماهانه]]+Table1[[#This Row],[مبلغ اضافه کار]]+Table1[[#This Row],[حق خواربار]]+Table1[[#This Row],[حق مسکن]]+Table1[[#This Row],[حق اولاد]]+Table1[[#This Row],[حق ماموریت]]</f>
        <v>35929979.354838707</v>
      </c>
      <c r="T3" s="42">
        <f>Table1[[#This Row],[جمع کل حقوق و مزایا]]-Table1[[#This Row],[حق اولاد]]-Table1[[#This Row],[حق ماموریت]]</f>
        <v>31306634.838709675</v>
      </c>
      <c r="U3" s="42">
        <f>Table1[[#This Row],[حقوق مشمول بیمه]]*0.07</f>
        <v>2191464.4387096777</v>
      </c>
      <c r="V3" s="42">
        <f>Table1[[#This Row],[حقوق مشمول بیمه]]*0.2</f>
        <v>6261326.9677419355</v>
      </c>
      <c r="W3" s="42">
        <f>Table1[[#This Row],[حقوق مشمول بیمه]]*0.03</f>
        <v>939199.04516129021</v>
      </c>
      <c r="X3" s="42">
        <f>Table1[[#This Row],[جمع کل حقوق و مزایا]]-Table1[[#This Row],[حق ماموریت]]-7/7*Table1[[#This Row],[بیمه سهم کارگر]]-Table1[[#This Row],[حق مسکن]]</f>
        <v>30835289.109677419</v>
      </c>
      <c r="Y3" s="42">
        <f>IF(Table1[[#This Row],[حقوق مشمول مالیات]]&lt;=$Y$12,0,IF(Table1[[#This Row],[حقوق مشمول مالیات]]&lt;=$Y$13,(Table1[[#This Row],[حقوق مشمول مالیات]]-$Z$13)*X13+V12,IF(Table1[[#This Row],[حقوق مشمول مالیات]]&lt;=$Y$14,(Table1[[#This Row],[حقوق مشمول مالیات]]-$Z$14)*X14+V13,IF(Table1[[#This Row],[حقوق مشمول مالیات]]&lt;=$Y$15,(Table1[[#This Row],[حقوق مشمول مالیات]]-Z15)*X15+V14,(Table1[[#This Row],[حقوق مشمول مالیات]]-Z16)*X16+V15))))</f>
        <v>0</v>
      </c>
      <c r="Z3" s="42"/>
      <c r="AA3" s="42"/>
      <c r="AB3" s="42">
        <f>Table1[[#This Row],[بیمه سهم کارگر]]+Table1[[#This Row],[مالیات]]+Table1[[#This Row],[مساعده]]+Table1[[#This Row],[وام]]</f>
        <v>2191464.4387096777</v>
      </c>
      <c r="AC3" s="42">
        <f>Table1[[#This Row],[جمع کل حقوق و مزایا]]-Table1[[#This Row],[جمع کل کسور]]</f>
        <v>33738514.91612903</v>
      </c>
    </row>
    <row r="4" spans="1:29" ht="60" customHeight="1" x14ac:dyDescent="0.25">
      <c r="A4" s="42">
        <v>1002</v>
      </c>
      <c r="B4" s="9" t="s">
        <v>6</v>
      </c>
      <c r="C4" s="9" t="s">
        <v>98</v>
      </c>
      <c r="D4" s="9">
        <v>80000000</v>
      </c>
      <c r="E4" s="9"/>
      <c r="F4" s="9">
        <v>4500000</v>
      </c>
      <c r="G4" s="9">
        <f t="shared" ref="G4:G6" si="0">D4+E4+F4</f>
        <v>84500000</v>
      </c>
      <c r="H4" s="9">
        <f>Table1[[#This Row],[حقوق به تبع شغل]]/30</f>
        <v>2816666.6666666665</v>
      </c>
      <c r="I4" s="9">
        <v>31</v>
      </c>
      <c r="J4" s="9">
        <f>H4*I4</f>
        <v>87316666.666666657</v>
      </c>
      <c r="K4" s="9">
        <v>1</v>
      </c>
      <c r="L4" s="9">
        <f>G4/220*1.4*K4</f>
        <v>537727.27272727271</v>
      </c>
      <c r="M4" s="9">
        <f>14000000/31*Table1[[#This Row],[تعداد روز کارکرد ماه جاری]]</f>
        <v>14000000</v>
      </c>
      <c r="N4" s="9">
        <f>9000000/31*Table1[[#This Row],[تعداد روز کارکرد ماه جاری]]</f>
        <v>9000000</v>
      </c>
      <c r="O4" s="9">
        <v>1</v>
      </c>
      <c r="P4" s="9">
        <f>71661840*10%*Table1[[#This Row],[تعداد اولاد]]/31*Table1[[#This Row],[تعداد روز کارکرد ماه جاری]]</f>
        <v>7166184</v>
      </c>
      <c r="Q4" s="9"/>
      <c r="R4" s="42">
        <f>H3*Q3</f>
        <v>2388728</v>
      </c>
      <c r="S4" s="9">
        <f>Table1[[#This Row],[کارکرد ماهانه]]+Table1[[#This Row],[مبلغ اضافه کار]]+Table1[[#This Row],[حق خواربار]]+Table1[[#This Row],[حق مسکن]]+Table1[[#This Row],[حق اولاد]]+Table1[[#This Row],[حق ماموریت]]</f>
        <v>120409305.93939392</v>
      </c>
      <c r="T4" s="42">
        <f>Table1[[#This Row],[جمع کل حقوق و مزایا]]-Table1[[#This Row],[حق اولاد]]-Table1[[#This Row],[حق ماموریت]]</f>
        <v>110854393.93939392</v>
      </c>
      <c r="U4" s="9">
        <f>Table1[[#This Row],[حقوق مشمول بیمه]]*0.07</f>
        <v>7759807.5757575752</v>
      </c>
      <c r="V4" s="9">
        <f>Table1[[#This Row],[حقوق مشمول بیمه]]*0.2</f>
        <v>22170878.787878785</v>
      </c>
      <c r="W4" s="9">
        <f>Table1[[#This Row],[حقوق مشمول بیمه]]*0.03</f>
        <v>3325631.8181818174</v>
      </c>
      <c r="X4" s="42">
        <v>121000000</v>
      </c>
      <c r="Y4" s="9">
        <f>IF(Table1[[#This Row],[حقوق مشمول مالیات]]&lt;=Y12,0,IF(Table1[[#This Row],[حقوق مشمول مالیات]]&lt;=Y13,(Table1[[#This Row],[حقوق مشمول مالیات]]-Z13)*X13+V12,IF(Table1[[#This Row],[حقوق مشمول مالیات]]&lt;=Y14,(Table1[[#This Row],[حقوق مشمول مالیات]]-Z14)*X14+V13,IF(Table1[[#This Row],[حقوق مشمول مالیات]]&lt;=Y15,(Table1[[#This Row],[حقوق مشمول مالیات]]-Z15)*X15+V14,(Table1[[#This Row],[حقوق مشمول مالیات]]-Z16)*X16+V15))))</f>
        <v>99999.900000000009</v>
      </c>
      <c r="Z4" s="9"/>
      <c r="AA4" s="9"/>
      <c r="AB4" s="9">
        <f>Table1[[#This Row],[بیمه سهم کارگر]]+Table1[[#This Row],[مالیات]]+Table1[[#This Row],[مساعده]]+Table1[[#This Row],[وام]]</f>
        <v>7859807.4757575756</v>
      </c>
      <c r="AC4" s="9">
        <f>Table1[[#This Row],[جمع کل حقوق و مزایا]]-Table1[[#This Row],[جمع کل کسور]]</f>
        <v>112549498.46363635</v>
      </c>
    </row>
    <row r="5" spans="1:29" ht="60" customHeight="1" x14ac:dyDescent="0.25">
      <c r="A5" s="42">
        <v>1003</v>
      </c>
      <c r="B5" s="42" t="s">
        <v>7</v>
      </c>
      <c r="C5" s="42" t="s">
        <v>99</v>
      </c>
      <c r="D5" s="42">
        <v>150000000</v>
      </c>
      <c r="E5" s="42"/>
      <c r="F5" s="42"/>
      <c r="G5" s="42">
        <f t="shared" si="0"/>
        <v>150000000</v>
      </c>
      <c r="H5" s="42">
        <f>Table1[[#This Row],[حقوق به تبع شغل]]/30</f>
        <v>5000000</v>
      </c>
      <c r="I5" s="42">
        <v>31</v>
      </c>
      <c r="J5" s="42">
        <f>H5*I5</f>
        <v>155000000</v>
      </c>
      <c r="K5" s="42"/>
      <c r="L5" s="42">
        <f>G5/220*1.4*K5</f>
        <v>0</v>
      </c>
      <c r="M5" s="42">
        <f>14000000/31*Table1[[#This Row],[تعداد روز کارکرد ماه جاری]]</f>
        <v>14000000</v>
      </c>
      <c r="N5" s="42">
        <f>9000000/31*Table1[[#This Row],[تعداد روز کارکرد ماه جاری]]</f>
        <v>9000000</v>
      </c>
      <c r="O5" s="42"/>
      <c r="P5" s="42">
        <f>71661840*10%*Table1[[#This Row],[تعداد اولاد]]/31*Table1[[#This Row],[تعداد روز کارکرد ماه جاری]]</f>
        <v>0</v>
      </c>
      <c r="Q5" s="42"/>
      <c r="R5" s="42">
        <f>H5*Q5</f>
        <v>0</v>
      </c>
      <c r="S5" s="42">
        <f>Table1[[#This Row],[کارکرد ماهانه]]+Table1[[#This Row],[مبلغ اضافه کار]]+Table1[[#This Row],[حق خواربار]]+Table1[[#This Row],[حق مسکن]]+Table1[[#This Row],[حق اولاد]]+Table1[[#This Row],[حق ماموریت]]</f>
        <v>178000000</v>
      </c>
      <c r="T5" s="42">
        <f>Table1[[#This Row],[جمع کل حقوق و مزایا]]-Table1[[#This Row],[حق اولاد]]-Table1[[#This Row],[حق ماموریت]]</f>
        <v>178000000</v>
      </c>
      <c r="U5" s="42">
        <f>Table1[[#This Row],[حقوق مشمول بیمه]]*0.07</f>
        <v>12460000.000000002</v>
      </c>
      <c r="V5" s="42">
        <f>Table1[[#This Row],[حقوق مشمول بیمه]]*0.2</f>
        <v>35600000</v>
      </c>
      <c r="W5" s="42">
        <f>Table1[[#This Row],[حقوق مشمول بیمه]]*0.03</f>
        <v>5340000</v>
      </c>
      <c r="X5" s="42">
        <v>150000000</v>
      </c>
      <c r="Y5" s="42">
        <f>IF(Table1[[#This Row],[حقوق مشمول مالیات]]&lt;=Y13,0,IF(Table1[[#This Row],[حقوق مشمول مالیات]]&lt;=Y14,(Table1[[#This Row],[حقوق مشمول مالیات]]-Z14)*X14+V13,IF(Table1[[#This Row],[حقوق مشمول مالیات]]&lt;=Y15,(Table1[[#This Row],[حقوق مشمول مالیات]]-Z15)*X15+V14,IF(Table1[[#This Row],[حقوق مشمول مالیات]]&lt;=Y16,(Table1[[#This Row],[حقوق مشمول مالیات]]-Z16)*X16+V15,(Table1[[#This Row],[حقوق مشمول مالیات]]-Z17)*X17+V16))))</f>
        <v>0</v>
      </c>
      <c r="Z5" s="42"/>
      <c r="AA5" s="42">
        <v>5000000</v>
      </c>
      <c r="AB5" s="42">
        <f>Table1[[#This Row],[بیمه سهم کارگر]]+Table1[[#This Row],[مالیات]]+Table1[[#This Row],[مساعده]]+Table1[[#This Row],[وام]]</f>
        <v>17460000</v>
      </c>
      <c r="AC5" s="42">
        <f>Table1[[#This Row],[جمع کل حقوق و مزایا]]-Table1[[#This Row],[جمع کل کسور]]</f>
        <v>160540000</v>
      </c>
    </row>
    <row r="6" spans="1:29" ht="60" customHeight="1" x14ac:dyDescent="0.25">
      <c r="A6" s="42">
        <v>1004</v>
      </c>
      <c r="B6" s="9" t="s">
        <v>8</v>
      </c>
      <c r="C6" s="9" t="s">
        <v>55</v>
      </c>
      <c r="D6" s="9">
        <v>130000000</v>
      </c>
      <c r="E6" s="9">
        <v>2100000</v>
      </c>
      <c r="F6" s="9"/>
      <c r="G6" s="9">
        <f t="shared" si="0"/>
        <v>132100000</v>
      </c>
      <c r="H6" s="9">
        <f>Table1[[#This Row],[حقوق به تبع شغل]]/30</f>
        <v>4403333.333333333</v>
      </c>
      <c r="I6" s="9">
        <v>31</v>
      </c>
      <c r="J6" s="9">
        <f t="shared" ref="J6" si="1">H6*I6</f>
        <v>136503333.33333331</v>
      </c>
      <c r="K6" s="9">
        <v>5</v>
      </c>
      <c r="L6" s="9">
        <f>G6/220*1.4*K6</f>
        <v>4203181.8181818174</v>
      </c>
      <c r="M6" s="9">
        <f>14000000/31*Table1[[#This Row],[تعداد روز کارکرد ماه جاری]]</f>
        <v>14000000</v>
      </c>
      <c r="N6" s="9">
        <f>9000000/31*Table1[[#This Row],[تعداد روز کارکرد ماه جاری]]</f>
        <v>9000000</v>
      </c>
      <c r="O6" s="9">
        <v>3</v>
      </c>
      <c r="P6" s="9">
        <f>71661840*10%*Table1[[#This Row],[تعداد اولاد]]/31*Table1[[#This Row],[تعداد روز کارکرد ماه جاری]]</f>
        <v>21498552</v>
      </c>
      <c r="Q6" s="9"/>
      <c r="R6" s="9">
        <f>H6*Q6</f>
        <v>0</v>
      </c>
      <c r="S6" s="9">
        <f>Table1[[#This Row],[کارکرد ماهانه]]+Table1[[#This Row],[مبلغ اضافه کار]]+Table1[[#This Row],[حق خواربار]]+Table1[[#This Row],[حق مسکن]]+Table1[[#This Row],[حق اولاد]]+Table1[[#This Row],[حق ماموریت]]</f>
        <v>185205067.15151513</v>
      </c>
      <c r="T6" s="42">
        <f>Table1[[#This Row],[جمع کل حقوق و مزایا]]-Table1[[#This Row],[حق اولاد]]-Table1[[#This Row],[حق ماموریت]]</f>
        <v>163706515.15151513</v>
      </c>
      <c r="U6" s="9">
        <f>Table1[[#This Row],[حقوق مشمول بیمه]]*0.07</f>
        <v>11459456.060606061</v>
      </c>
      <c r="V6" s="9">
        <f>Table1[[#This Row],[حقوق مشمول بیمه]]*0.2</f>
        <v>32741303.030303027</v>
      </c>
      <c r="W6" s="9">
        <f>Table1[[#This Row],[حقوق مشمول بیمه]]*0.03</f>
        <v>4911195.4545454532</v>
      </c>
      <c r="X6" s="42">
        <f>Table1[[#This Row],[جمع کل حقوق و مزایا]]-Table1[[#This Row],[حق ماموریت]]-7/7*Table1[[#This Row],[بیمه سهم کارگر]]-Table1[[#This Row],[حق مسکن]]</f>
        <v>164745611.09090906</v>
      </c>
      <c r="Y6" s="9">
        <f>IF(Table1[[#This Row],[حقوق مشمول مالیات]]&lt;=Y12,0,IF(Table1[[#This Row],[حقوق مشمول مالیات]]&lt;=Y13,(Table1[[#This Row],[حقوق مشمول مالیات]]-Z13)*X13+V12,IF(Table1[[#This Row],[حقوق مشمول مالیات]]&lt;=Y14,(Table1[[#This Row],[حقوق مشمول مالیات]]-Z14)*X14+V13,IF(Table1[[#This Row],[حقوق مشمول مالیات]]&lt;=Y15,(Table1[[#This Row],[حقوق مشمول مالیات]]-Z15)*X15+V14,(Table1[[#This Row],[حقوق مشمول مالیات]]-Z16)*X16+V15))))</f>
        <v>4474561.0090909069</v>
      </c>
      <c r="Z6" s="9">
        <v>1000000</v>
      </c>
      <c r="AA6" s="9"/>
      <c r="AB6" s="9">
        <f>Table1[[#This Row],[بیمه سهم کارگر]]+Table1[[#This Row],[مالیات]]+Table1[[#This Row],[مساعده]]+Table1[[#This Row],[وام]]</f>
        <v>16934017.069696967</v>
      </c>
      <c r="AC6" s="9">
        <f>Table1[[#This Row],[جمع کل حقوق و مزایا]]-Table1[[#This Row],[جمع کل کسور]]</f>
        <v>168271050.08181816</v>
      </c>
    </row>
    <row r="7" spans="1:29" s="10" customFormat="1" ht="60" customHeight="1" x14ac:dyDescent="0.25">
      <c r="A7" s="11" t="s">
        <v>46</v>
      </c>
      <c r="B7" s="11"/>
      <c r="C7" s="11"/>
      <c r="D7" s="94">
        <f>SUBTOTAL(109,D3:D6)</f>
        <v>431661840</v>
      </c>
      <c r="E7" s="94">
        <f>SUBTOTAL(109,E3:E6)</f>
        <v>2100000</v>
      </c>
      <c r="F7" s="94">
        <f>SUBTOTAL(109,F3:F6)</f>
        <v>4500000</v>
      </c>
      <c r="G7" s="94">
        <f>SUBTOTAL(109,G3:G6)</f>
        <v>438261840</v>
      </c>
      <c r="H7" s="94">
        <f t="shared" ref="H7" si="2">SUBTOTAL(109,H3:H6)</f>
        <v>14608728</v>
      </c>
      <c r="I7" s="94">
        <f t="shared" ref="I7" si="3">SUBTOTAL(109,I3:I6)</f>
        <v>103</v>
      </c>
      <c r="J7" s="94">
        <f>SUBTOTAL(109,J3:J6)</f>
        <v>402707280</v>
      </c>
      <c r="K7" s="94">
        <f t="shared" ref="K7" si="4">SUBTOTAL(109,K3:K6)</f>
        <v>6</v>
      </c>
      <c r="L7" s="94">
        <f>SUBTOTAL(109,L3:L6)</f>
        <v>4740909.0909090899</v>
      </c>
      <c r="M7" s="94">
        <f>SUBTOTAL(109,M3:M6)</f>
        <v>46516129.032258064</v>
      </c>
      <c r="N7" s="94">
        <f t="shared" ref="N7" si="5">SUBTOTAL(109,N3:N6)</f>
        <v>29903225.806451611</v>
      </c>
      <c r="O7" s="94">
        <f t="shared" ref="O7" si="6">SUBTOTAL(109,O3:O6)</f>
        <v>6</v>
      </c>
      <c r="P7" s="94">
        <f t="shared" ref="P7" si="7">SUBTOTAL(109,P3:P6)</f>
        <v>33288080.516129032</v>
      </c>
      <c r="Q7" s="94">
        <f t="shared" ref="Q7" si="8">SUBTOTAL(109,Q3:Q6)</f>
        <v>1</v>
      </c>
      <c r="R7" s="94">
        <f>SUBTOTAL(109,R4:R6)</f>
        <v>2388728</v>
      </c>
      <c r="S7" s="94">
        <f t="shared" ref="S7" si="9">SUBTOTAL(109,S3:S6)</f>
        <v>519544352.44574773</v>
      </c>
      <c r="T7" s="94">
        <f t="shared" ref="T7" si="10">SUBTOTAL(109,T3:T6)</f>
        <v>483867543.92961872</v>
      </c>
      <c r="U7" s="94">
        <f t="shared" ref="U7" si="11">SUBTOTAL(109,U3:U6)</f>
        <v>33870728.075073317</v>
      </c>
      <c r="V7" s="94">
        <f t="shared" ref="V7" si="12">SUBTOTAL(109,V3:V6)</f>
        <v>96773508.785923749</v>
      </c>
      <c r="W7" s="94">
        <f t="shared" ref="W7" si="13">SUBTOTAL(109,W3:W6)</f>
        <v>14516026.317888562</v>
      </c>
      <c r="X7" s="94">
        <f t="shared" ref="X7" si="14">SUBTOTAL(109,X3:X6)</f>
        <v>466580900.2005865</v>
      </c>
      <c r="Y7" s="94">
        <f t="shared" ref="Y7" si="15">SUBTOTAL(109,Y3:Y6)</f>
        <v>4574560.9090909073</v>
      </c>
      <c r="Z7" s="94">
        <f t="shared" ref="Z7" si="16">SUBTOTAL(109,Z3:Z6)</f>
        <v>1000000</v>
      </c>
      <c r="AA7" s="94">
        <f t="shared" ref="AA7" si="17">SUBTOTAL(109,AA3:AA6)</f>
        <v>5000000</v>
      </c>
      <c r="AB7" s="94">
        <f t="shared" ref="AB7" si="18">SUBTOTAL(109,AB3:AB6)</f>
        <v>44445288.984164223</v>
      </c>
      <c r="AC7" s="94">
        <f t="shared" ref="AC7" si="19">SUBTOTAL(109,AC3:AC6)</f>
        <v>475099063.46158355</v>
      </c>
    </row>
    <row r="9" spans="1:29" ht="60" customHeight="1" thickBot="1" x14ac:dyDescent="0.3">
      <c r="O9" s="1">
        <f>P9+P3</f>
        <v>35929979.516129032</v>
      </c>
      <c r="P9" s="1">
        <v>31306635</v>
      </c>
    </row>
    <row r="10" spans="1:29" ht="60" customHeight="1" thickBot="1" x14ac:dyDescent="0.3">
      <c r="V10" s="97" t="s">
        <v>53</v>
      </c>
      <c r="W10" s="98"/>
      <c r="X10" s="98"/>
      <c r="Y10" s="98"/>
      <c r="Z10" s="99"/>
    </row>
    <row r="11" spans="1:29" ht="60" customHeight="1" thickBot="1" x14ac:dyDescent="0.3">
      <c r="V11" s="12" t="s">
        <v>63</v>
      </c>
      <c r="W11" s="12" t="s">
        <v>62</v>
      </c>
      <c r="X11" s="12" t="s">
        <v>61</v>
      </c>
      <c r="Y11" s="13" t="s">
        <v>60</v>
      </c>
      <c r="Z11" s="14" t="s">
        <v>59</v>
      </c>
    </row>
    <row r="12" spans="1:29" ht="60" customHeight="1" thickBot="1" x14ac:dyDescent="0.3">
      <c r="V12" s="15">
        <v>0</v>
      </c>
      <c r="W12" s="15">
        <v>0</v>
      </c>
      <c r="X12" s="118">
        <v>0</v>
      </c>
      <c r="Y12" s="16">
        <v>120000000</v>
      </c>
      <c r="Z12" s="17">
        <v>1</v>
      </c>
    </row>
    <row r="13" spans="1:29" ht="60" customHeight="1" thickBot="1" x14ac:dyDescent="0.3">
      <c r="V13" s="15">
        <f>W13</f>
        <v>4500000</v>
      </c>
      <c r="W13" s="15">
        <v>4500000</v>
      </c>
      <c r="X13" s="119">
        <v>0.1</v>
      </c>
      <c r="Y13" s="9">
        <v>165000000</v>
      </c>
      <c r="Z13" s="18">
        <v>120000001</v>
      </c>
    </row>
    <row r="14" spans="1:29" ht="60" customHeight="1" thickBot="1" x14ac:dyDescent="0.3">
      <c r="E14" s="96" t="s">
        <v>40</v>
      </c>
      <c r="F14" s="96"/>
      <c r="G14" s="96"/>
      <c r="H14" s="96"/>
      <c r="V14" s="15">
        <f>W14+V13</f>
        <v>20250000</v>
      </c>
      <c r="W14" s="15">
        <v>15750000</v>
      </c>
      <c r="X14" s="119">
        <v>0.15</v>
      </c>
      <c r="Y14" s="9">
        <v>270000000</v>
      </c>
      <c r="Z14" s="18">
        <v>165000001</v>
      </c>
    </row>
    <row r="15" spans="1:29" ht="60" customHeight="1" thickBot="1" x14ac:dyDescent="0.3">
      <c r="E15" s="19" t="s">
        <v>41</v>
      </c>
      <c r="F15" s="19" t="s">
        <v>42</v>
      </c>
      <c r="G15" s="19" t="s">
        <v>43</v>
      </c>
      <c r="H15" s="19" t="s">
        <v>44</v>
      </c>
      <c r="V15" s="15">
        <f>W15+V14</f>
        <v>46250000</v>
      </c>
      <c r="W15" s="15">
        <v>26000000</v>
      </c>
      <c r="X15" s="119">
        <v>0.2</v>
      </c>
      <c r="Y15" s="9">
        <v>400000000</v>
      </c>
      <c r="Z15" s="18">
        <v>270000001</v>
      </c>
    </row>
    <row r="16" spans="1:29" ht="60" customHeight="1" thickBot="1" x14ac:dyDescent="0.3">
      <c r="E16" s="20" t="s">
        <v>52</v>
      </c>
      <c r="F16" s="21"/>
      <c r="G16" s="22">
        <f>J7</f>
        <v>402707280</v>
      </c>
      <c r="H16" s="23"/>
      <c r="V16" s="15">
        <f>W16+V15</f>
        <v>3046249999.6999998</v>
      </c>
      <c r="W16" s="41">
        <f>Y16*X16</f>
        <v>2999999999.6999998</v>
      </c>
      <c r="X16" s="120">
        <v>0.3</v>
      </c>
      <c r="Y16" s="24">
        <v>9999999999</v>
      </c>
      <c r="Z16" s="25">
        <v>400000001</v>
      </c>
    </row>
    <row r="17" spans="5:8" ht="60" customHeight="1" thickBot="1" x14ac:dyDescent="0.3">
      <c r="E17" s="20" t="s">
        <v>58</v>
      </c>
      <c r="F17" s="21"/>
      <c r="G17" s="22">
        <f>M7</f>
        <v>46516129.032258064</v>
      </c>
      <c r="H17" s="23"/>
    </row>
    <row r="18" spans="5:8" ht="60" customHeight="1" x14ac:dyDescent="0.25">
      <c r="E18" s="20" t="s">
        <v>57</v>
      </c>
      <c r="F18" s="21"/>
      <c r="G18" s="22">
        <f>N7</f>
        <v>29903225.806451611</v>
      </c>
      <c r="H18" s="23"/>
    </row>
    <row r="19" spans="5:8" ht="60" customHeight="1" x14ac:dyDescent="0.25">
      <c r="E19" s="20" t="s">
        <v>16</v>
      </c>
      <c r="F19" s="21"/>
      <c r="G19" s="22">
        <f>P7</f>
        <v>33288080.516129032</v>
      </c>
      <c r="H19" s="23"/>
    </row>
    <row r="20" spans="5:8" ht="60" customHeight="1" x14ac:dyDescent="0.25">
      <c r="E20" s="20" t="s">
        <v>45</v>
      </c>
      <c r="F20" s="21"/>
      <c r="G20" s="22">
        <f>L7</f>
        <v>4740909.0909090899</v>
      </c>
      <c r="H20" s="23"/>
    </row>
    <row r="21" spans="5:8" ht="60" customHeight="1" x14ac:dyDescent="0.25">
      <c r="E21" s="20" t="s">
        <v>35</v>
      </c>
      <c r="F21" s="21"/>
      <c r="G21" s="22">
        <f>R7</f>
        <v>2388728</v>
      </c>
      <c r="H21" s="23"/>
    </row>
    <row r="22" spans="5:8" ht="60" customHeight="1" x14ac:dyDescent="0.25">
      <c r="E22" s="20" t="s">
        <v>47</v>
      </c>
      <c r="F22" s="21"/>
      <c r="G22" s="22">
        <f>V7+W7</f>
        <v>111289535.10381231</v>
      </c>
      <c r="H22" s="23"/>
    </row>
    <row r="23" spans="5:8" ht="60" customHeight="1" x14ac:dyDescent="0.25">
      <c r="E23" s="20" t="s">
        <v>38</v>
      </c>
      <c r="F23" s="21"/>
      <c r="G23" s="22"/>
      <c r="H23" s="23">
        <f>Y7</f>
        <v>4574560.9090909073</v>
      </c>
    </row>
    <row r="24" spans="5:8" ht="60" customHeight="1" x14ac:dyDescent="0.25">
      <c r="E24" s="20" t="s">
        <v>49</v>
      </c>
      <c r="F24" s="21"/>
      <c r="G24" s="22"/>
      <c r="H24" s="23">
        <f>U7+V7+W7</f>
        <v>145160263.17888564</v>
      </c>
    </row>
    <row r="25" spans="5:8" ht="60" customHeight="1" x14ac:dyDescent="0.25">
      <c r="E25" s="20" t="s">
        <v>48</v>
      </c>
      <c r="F25" s="21" t="s">
        <v>6</v>
      </c>
      <c r="G25" s="22"/>
      <c r="H25" s="23">
        <f>AC4</f>
        <v>112549498.46363635</v>
      </c>
    </row>
    <row r="26" spans="5:8" ht="60" customHeight="1" x14ac:dyDescent="0.25">
      <c r="E26" s="20" t="s">
        <v>48</v>
      </c>
      <c r="F26" s="21" t="s">
        <v>7</v>
      </c>
      <c r="G26" s="22"/>
      <c r="H26" s="23">
        <f>AC5</f>
        <v>160540000</v>
      </c>
    </row>
    <row r="27" spans="5:8" ht="60" customHeight="1" x14ac:dyDescent="0.25">
      <c r="E27" s="20" t="s">
        <v>48</v>
      </c>
      <c r="F27" s="21" t="s">
        <v>8</v>
      </c>
      <c r="G27" s="22"/>
      <c r="H27" s="23">
        <f>AC6</f>
        <v>168271050.08181816</v>
      </c>
    </row>
    <row r="28" spans="5:8" ht="60" customHeight="1" x14ac:dyDescent="0.25">
      <c r="E28" s="20" t="s">
        <v>48</v>
      </c>
      <c r="F28" s="21" t="s">
        <v>9</v>
      </c>
      <c r="G28" s="22"/>
      <c r="H28" s="23">
        <f>AC3</f>
        <v>33738514.91612903</v>
      </c>
    </row>
    <row r="29" spans="5:8" ht="60" customHeight="1" x14ac:dyDescent="0.25">
      <c r="E29" s="20" t="s">
        <v>25</v>
      </c>
      <c r="F29" s="21" t="s">
        <v>8</v>
      </c>
      <c r="G29" s="22"/>
      <c r="H29" s="23">
        <v>1000000</v>
      </c>
    </row>
    <row r="30" spans="5:8" ht="60" customHeight="1" x14ac:dyDescent="0.25">
      <c r="E30" s="20" t="s">
        <v>26</v>
      </c>
      <c r="F30" s="21" t="s">
        <v>7</v>
      </c>
      <c r="G30" s="22"/>
      <c r="H30" s="23">
        <v>5000000</v>
      </c>
    </row>
    <row r="31" spans="5:8" ht="60" customHeight="1" x14ac:dyDescent="0.25">
      <c r="E31" s="26"/>
      <c r="F31" s="27"/>
      <c r="G31" s="28"/>
      <c r="H31" s="29"/>
    </row>
    <row r="32" spans="5:8" ht="60" customHeight="1" x14ac:dyDescent="0.25">
      <c r="E32" s="30" t="s">
        <v>46</v>
      </c>
      <c r="F32" s="30"/>
      <c r="G32" s="30">
        <f>SUM(G16:G31)</f>
        <v>630833887.54956007</v>
      </c>
      <c r="H32" s="30">
        <f>SUM(H17:H31)</f>
        <v>630833887.54956007</v>
      </c>
    </row>
    <row r="36" spans="6:8" ht="60" customHeight="1" x14ac:dyDescent="0.25">
      <c r="H36" s="1">
        <f>G32-H32</f>
        <v>0</v>
      </c>
    </row>
    <row r="37" spans="6:8" ht="60" customHeight="1" x14ac:dyDescent="0.25">
      <c r="F37" s="1" t="s">
        <v>50</v>
      </c>
    </row>
  </sheetData>
  <mergeCells count="2">
    <mergeCell ref="E14:H14"/>
    <mergeCell ref="V10:Z10"/>
  </mergeCells>
  <pageMargins left="0.7" right="0.7" top="0.75" bottom="0.75" header="0.3" footer="0.3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2F45-81A1-4586-A3BE-7AF3318943CC}">
  <dimension ref="G3:M26"/>
  <sheetViews>
    <sheetView rightToLeft="1" topLeftCell="D23" zoomScale="220" zoomScaleNormal="220" workbookViewId="0">
      <selection activeCell="H26" sqref="H26"/>
    </sheetView>
  </sheetViews>
  <sheetFormatPr defaultRowHeight="15" x14ac:dyDescent="0.25"/>
  <cols>
    <col min="8" max="8" width="22.28515625" customWidth="1"/>
    <col min="11" max="11" width="10.7109375" bestFit="1" customWidth="1"/>
    <col min="12" max="12" width="9.28515625" bestFit="1" customWidth="1"/>
    <col min="13" max="13" width="13.42578125" bestFit="1" customWidth="1"/>
  </cols>
  <sheetData>
    <row r="3" spans="7:13" x14ac:dyDescent="0.25">
      <c r="G3">
        <v>1000</v>
      </c>
    </row>
    <row r="4" spans="7:13" x14ac:dyDescent="0.25">
      <c r="G4">
        <v>1001</v>
      </c>
      <c r="K4" s="90">
        <v>12513</v>
      </c>
      <c r="L4" s="90">
        <v>132.1</v>
      </c>
      <c r="M4" s="91">
        <f>K4*L4</f>
        <v>1652967.2999999998</v>
      </c>
    </row>
    <row r="5" spans="7:13" x14ac:dyDescent="0.25">
      <c r="G5">
        <v>1002</v>
      </c>
      <c r="I5" s="92">
        <f>G3+K4</f>
        <v>13513</v>
      </c>
    </row>
    <row r="6" spans="7:13" x14ac:dyDescent="0.25">
      <c r="G6">
        <v>1003</v>
      </c>
    </row>
    <row r="7" spans="7:13" x14ac:dyDescent="0.25">
      <c r="G7">
        <v>1004</v>
      </c>
      <c r="K7" s="93">
        <f>G4/L4</f>
        <v>7.5775927327781982</v>
      </c>
      <c r="M7" s="92">
        <f>K4-L4</f>
        <v>12380.9</v>
      </c>
    </row>
    <row r="8" spans="7:13" x14ac:dyDescent="0.25">
      <c r="G8">
        <v>1005</v>
      </c>
      <c r="K8">
        <f>G6-G4</f>
        <v>2</v>
      </c>
    </row>
    <row r="9" spans="7:13" x14ac:dyDescent="0.25">
      <c r="G9">
        <v>1006</v>
      </c>
      <c r="I9" s="92">
        <f>G3*L4</f>
        <v>132100</v>
      </c>
    </row>
    <row r="10" spans="7:13" x14ac:dyDescent="0.25">
      <c r="G10">
        <v>1007</v>
      </c>
    </row>
    <row r="11" spans="7:13" x14ac:dyDescent="0.25">
      <c r="G11">
        <v>1008</v>
      </c>
    </row>
    <row r="12" spans="7:13" x14ac:dyDescent="0.25">
      <c r="G12">
        <v>1009</v>
      </c>
    </row>
    <row r="13" spans="7:13" x14ac:dyDescent="0.25">
      <c r="G13">
        <v>1010</v>
      </c>
    </row>
    <row r="14" spans="7:13" x14ac:dyDescent="0.25">
      <c r="G14">
        <v>1011</v>
      </c>
    </row>
    <row r="15" spans="7:13" x14ac:dyDescent="0.25">
      <c r="G15">
        <v>1012</v>
      </c>
    </row>
    <row r="16" spans="7:13" x14ac:dyDescent="0.25">
      <c r="G16">
        <v>1013</v>
      </c>
    </row>
    <row r="17" spans="7:8" x14ac:dyDescent="0.25">
      <c r="G17">
        <v>1014</v>
      </c>
    </row>
    <row r="18" spans="7:8" x14ac:dyDescent="0.25">
      <c r="G18">
        <v>1015</v>
      </c>
    </row>
    <row r="26" spans="7:8" x14ac:dyDescent="0.25">
      <c r="H26" s="95">
        <v>1451515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1C41-2242-4221-A87F-6C5BDBEC6279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0D50-ED60-47BF-AD05-3526B1C5A3A3}">
  <sheetPr>
    <tabColor theme="2" tint="-0.749992370372631"/>
  </sheetPr>
  <dimension ref="A1"/>
  <sheetViews>
    <sheetView rightToLeft="1" workbookViewId="0">
      <selection activeCell="F15" sqref="F1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15"/>
  <sheetViews>
    <sheetView rightToLeft="1" zoomScale="160" zoomScaleNormal="160" workbookViewId="0">
      <selection sqref="A1:D1"/>
    </sheetView>
  </sheetViews>
  <sheetFormatPr defaultColWidth="9.140625" defaultRowHeight="15" x14ac:dyDescent="0.25"/>
  <cols>
    <col min="1" max="1" width="17.85546875" style="31" customWidth="1"/>
    <col min="2" max="2" width="15.140625" style="31" customWidth="1"/>
    <col min="3" max="3" width="16.42578125" style="31" customWidth="1"/>
    <col min="4" max="4" width="22" style="31" customWidth="1"/>
    <col min="5" max="16384" width="9.140625" style="31"/>
  </cols>
  <sheetData>
    <row r="1" spans="1:21" ht="22.5" customHeight="1" x14ac:dyDescent="0.25">
      <c r="A1" s="104" t="s">
        <v>29</v>
      </c>
      <c r="B1" s="105"/>
      <c r="C1" s="105"/>
      <c r="D1" s="106"/>
    </row>
    <row r="2" spans="1:21" ht="22.5" customHeight="1" x14ac:dyDescent="0.25">
      <c r="A2" s="104" t="s">
        <v>100</v>
      </c>
      <c r="B2" s="105"/>
      <c r="C2" s="105"/>
      <c r="D2" s="106"/>
      <c r="N2" s="32"/>
      <c r="O2" s="32"/>
      <c r="P2" s="32"/>
      <c r="Q2" s="32"/>
      <c r="R2" s="32"/>
      <c r="S2" s="32"/>
      <c r="T2" s="32"/>
      <c r="U2" s="32"/>
    </row>
    <row r="3" spans="1:21" ht="27.75" customHeight="1" x14ac:dyDescent="0.25">
      <c r="A3" s="107" t="s">
        <v>30</v>
      </c>
      <c r="B3" s="108"/>
      <c r="C3" s="108"/>
      <c r="D3" s="109"/>
    </row>
    <row r="4" spans="1:21" ht="24.95" customHeight="1" x14ac:dyDescent="0.25">
      <c r="A4" s="33" t="s">
        <v>1</v>
      </c>
      <c r="B4" s="34" t="str">
        <f>VLOOKUP(D4,Table1[],2)</f>
        <v>محمد سرلک</v>
      </c>
      <c r="C4" s="35" t="s">
        <v>0</v>
      </c>
      <c r="D4" s="36">
        <v>1001</v>
      </c>
    </row>
    <row r="5" spans="1:21" ht="24.95" customHeight="1" x14ac:dyDescent="0.25">
      <c r="A5" s="100" t="s">
        <v>31</v>
      </c>
      <c r="B5" s="100"/>
      <c r="C5" s="100"/>
      <c r="D5" s="100"/>
    </row>
    <row r="6" spans="1:21" ht="24.95" customHeight="1" x14ac:dyDescent="0.25">
      <c r="A6" s="100" t="s">
        <v>32</v>
      </c>
      <c r="B6" s="100"/>
      <c r="C6" s="100" t="s">
        <v>33</v>
      </c>
      <c r="D6" s="100"/>
    </row>
    <row r="7" spans="1:21" ht="24.95" customHeight="1" x14ac:dyDescent="0.25">
      <c r="A7" s="37" t="s">
        <v>13</v>
      </c>
      <c r="B7" s="38">
        <f>VLOOKUP(D4,Table1[],10,0)</f>
        <v>23887280</v>
      </c>
      <c r="C7" s="37" t="s">
        <v>37</v>
      </c>
      <c r="D7" s="38">
        <f>VLOOKUP(D4,Table1[],21,0)</f>
        <v>2191464.4387096777</v>
      </c>
    </row>
    <row r="8" spans="1:21" ht="24.95" customHeight="1" x14ac:dyDescent="0.25">
      <c r="A8" s="37" t="s">
        <v>56</v>
      </c>
      <c r="B8" s="38">
        <f>VLOOKUP(D4,Table1[],13,0)</f>
        <v>4516129.0322580645</v>
      </c>
      <c r="C8" s="37" t="s">
        <v>38</v>
      </c>
      <c r="D8" s="38">
        <f>VLOOKUP(D4,Table1[],25,0)</f>
        <v>0</v>
      </c>
    </row>
    <row r="9" spans="1:21" ht="24.95" customHeight="1" x14ac:dyDescent="0.25">
      <c r="A9" s="37" t="s">
        <v>57</v>
      </c>
      <c r="B9" s="38">
        <f>VLOOKUP(D4,Table1[],14,0)</f>
        <v>2903225.8064516126</v>
      </c>
      <c r="C9" s="37" t="s">
        <v>25</v>
      </c>
      <c r="D9" s="38">
        <f>VLOOKUP(D4,Table1[],26,0)</f>
        <v>0</v>
      </c>
    </row>
    <row r="10" spans="1:21" ht="24.95" customHeight="1" x14ac:dyDescent="0.25">
      <c r="A10" s="37" t="s">
        <v>34</v>
      </c>
      <c r="B10" s="38">
        <f>VLOOKUP(D4,Table1[],16,0)</f>
        <v>4623344.5161290318</v>
      </c>
      <c r="C10" s="37" t="s">
        <v>26</v>
      </c>
      <c r="D10" s="38">
        <f>VLOOKUP(D4,Table1[],27,0)</f>
        <v>0</v>
      </c>
    </row>
    <row r="11" spans="1:21" ht="24.95" customHeight="1" x14ac:dyDescent="0.25">
      <c r="A11" s="37" t="s">
        <v>35</v>
      </c>
      <c r="B11" s="38">
        <f>VLOOKUP(D4,Table1[],18,0)</f>
        <v>0</v>
      </c>
      <c r="C11" s="39"/>
      <c r="D11" s="39"/>
    </row>
    <row r="12" spans="1:21" ht="24.95" customHeight="1" x14ac:dyDescent="0.25">
      <c r="A12" s="37" t="s">
        <v>14</v>
      </c>
      <c r="B12" s="38">
        <f>VLOOKUP(D4,Table1[],12,0)</f>
        <v>0</v>
      </c>
      <c r="C12" s="40"/>
      <c r="D12" s="40"/>
    </row>
    <row r="13" spans="1:21" ht="24.95" customHeight="1" x14ac:dyDescent="0.25">
      <c r="A13" s="37" t="s">
        <v>36</v>
      </c>
      <c r="B13" s="38">
        <f>SUM(B7:B12)</f>
        <v>35929979.354838707</v>
      </c>
      <c r="C13" s="37" t="s">
        <v>39</v>
      </c>
      <c r="D13" s="38">
        <f>SUM(D7:D12)</f>
        <v>2191464.4387096777</v>
      </c>
    </row>
    <row r="14" spans="1:21" ht="24.95" customHeight="1" x14ac:dyDescent="0.25">
      <c r="A14" s="37" t="s">
        <v>28</v>
      </c>
      <c r="B14" s="101">
        <f>B13-D13</f>
        <v>33738514.91612903</v>
      </c>
      <c r="C14" s="102"/>
      <c r="D14" s="103"/>
    </row>
    <row r="15" spans="1:21" ht="24.95" customHeight="1" x14ac:dyDescent="0.25"/>
  </sheetData>
  <mergeCells count="7">
    <mergeCell ref="A6:B6"/>
    <mergeCell ref="C6:D6"/>
    <mergeCell ref="B14:D14"/>
    <mergeCell ref="A1:D1"/>
    <mergeCell ref="A2:D2"/>
    <mergeCell ref="A3:D3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E003-AEC3-4B3E-98D9-58C1191212BC}">
  <dimension ref="A1:G68"/>
  <sheetViews>
    <sheetView rightToLeft="1" zoomScale="70" zoomScaleNormal="70" workbookViewId="0">
      <selection activeCell="C5" sqref="C5"/>
    </sheetView>
  </sheetViews>
  <sheetFormatPr defaultRowHeight="15" x14ac:dyDescent="0.25"/>
  <cols>
    <col min="1" max="1" width="8.85546875" bestFit="1" customWidth="1"/>
    <col min="2" max="2" width="80.85546875" bestFit="1" customWidth="1"/>
    <col min="3" max="3" width="28.140625" bestFit="1" customWidth="1"/>
    <col min="4" max="4" width="28.42578125" bestFit="1" customWidth="1"/>
    <col min="5" max="5" width="29.7109375" bestFit="1" customWidth="1"/>
    <col min="6" max="6" width="25.85546875" bestFit="1" customWidth="1"/>
    <col min="7" max="7" width="26.5703125" bestFit="1" customWidth="1"/>
  </cols>
  <sheetData>
    <row r="1" spans="1:7" ht="47.25" thickBot="1" x14ac:dyDescent="0.3">
      <c r="A1" s="113" t="s">
        <v>97</v>
      </c>
      <c r="B1" s="43" t="s">
        <v>0</v>
      </c>
      <c r="C1" s="42">
        <v>1001</v>
      </c>
      <c r="D1" s="42">
        <v>1002</v>
      </c>
      <c r="E1" s="42">
        <v>1003</v>
      </c>
      <c r="F1" s="42">
        <v>1004</v>
      </c>
      <c r="G1" s="44" t="s">
        <v>46</v>
      </c>
    </row>
    <row r="2" spans="1:7" ht="47.25" thickBot="1" x14ac:dyDescent="0.3">
      <c r="A2" s="114"/>
      <c r="B2" s="43" t="s">
        <v>1</v>
      </c>
      <c r="C2" s="42" t="s">
        <v>9</v>
      </c>
      <c r="D2" s="9" t="s">
        <v>6</v>
      </c>
      <c r="E2" s="42" t="s">
        <v>7</v>
      </c>
      <c r="F2" s="9" t="s">
        <v>8</v>
      </c>
      <c r="G2" s="51">
        <f t="shared" ref="G2:G3" si="0">SUM(D2:F2)</f>
        <v>0</v>
      </c>
    </row>
    <row r="3" spans="1:7" ht="47.25" thickBot="1" x14ac:dyDescent="0.3">
      <c r="A3" s="114"/>
      <c r="B3" s="46" t="s">
        <v>2</v>
      </c>
      <c r="C3" s="42" t="s">
        <v>64</v>
      </c>
      <c r="D3" s="9" t="s">
        <v>54</v>
      </c>
      <c r="E3" s="42" t="s">
        <v>55</v>
      </c>
      <c r="F3" s="9" t="s">
        <v>10</v>
      </c>
      <c r="G3" s="51">
        <f t="shared" si="0"/>
        <v>0</v>
      </c>
    </row>
    <row r="4" spans="1:7" ht="47.25" thickBot="1" x14ac:dyDescent="0.3">
      <c r="A4" s="115"/>
      <c r="B4" s="71" t="s">
        <v>95</v>
      </c>
      <c r="C4" s="42">
        <f>VLOOKUP(C1,Table1[],7,0)</f>
        <v>71661840</v>
      </c>
      <c r="D4" s="9">
        <f>VLOOKUP(D1,Table1[],7,0)</f>
        <v>84500000</v>
      </c>
      <c r="E4" s="42">
        <f>VLOOKUP(E1,Table1[],7,0)</f>
        <v>150000000</v>
      </c>
      <c r="F4" s="9">
        <f>VLOOKUP(F1,Table1[],7,0)</f>
        <v>132100000</v>
      </c>
      <c r="G4" s="51">
        <f t="shared" ref="G4:G35" si="1">SUM(D4:F4)</f>
        <v>366600000</v>
      </c>
    </row>
    <row r="5" spans="1:7" ht="47.25" thickBot="1" x14ac:dyDescent="0.3">
      <c r="A5" s="116" t="s">
        <v>66</v>
      </c>
      <c r="B5" s="55" t="s">
        <v>79</v>
      </c>
      <c r="C5" s="42"/>
      <c r="D5" s="49"/>
      <c r="E5" s="42"/>
      <c r="F5" s="49"/>
      <c r="G5" s="51">
        <f t="shared" si="1"/>
        <v>0</v>
      </c>
    </row>
    <row r="6" spans="1:7" ht="81.75" thickBot="1" x14ac:dyDescent="0.3">
      <c r="A6" s="116"/>
      <c r="B6" s="56" t="s">
        <v>94</v>
      </c>
      <c r="C6" s="42"/>
      <c r="D6" s="9"/>
      <c r="E6" s="42"/>
      <c r="F6" s="9"/>
      <c r="G6" s="52">
        <f t="shared" si="1"/>
        <v>0</v>
      </c>
    </row>
    <row r="7" spans="1:7" ht="81.75" thickBot="1" x14ac:dyDescent="0.3">
      <c r="A7" s="116"/>
      <c r="B7" s="56" t="s">
        <v>81</v>
      </c>
      <c r="C7" s="42"/>
      <c r="D7" s="9"/>
      <c r="E7" s="42"/>
      <c r="F7" s="9"/>
      <c r="G7" s="52">
        <f t="shared" si="1"/>
        <v>0</v>
      </c>
    </row>
    <row r="8" spans="1:7" ht="81.75" thickBot="1" x14ac:dyDescent="0.3">
      <c r="A8" s="116"/>
      <c r="B8" s="57" t="s">
        <v>82</v>
      </c>
      <c r="C8" s="53"/>
      <c r="D8" s="24"/>
      <c r="E8" s="53"/>
      <c r="F8" s="24"/>
      <c r="G8" s="54">
        <f t="shared" si="1"/>
        <v>0</v>
      </c>
    </row>
    <row r="9" spans="1:7" ht="47.25" thickBot="1" x14ac:dyDescent="0.3">
      <c r="A9" s="116" t="s">
        <v>67</v>
      </c>
      <c r="B9" s="55" t="s">
        <v>79</v>
      </c>
      <c r="C9" s="50"/>
      <c r="D9" s="16"/>
      <c r="E9" s="50"/>
      <c r="F9" s="16"/>
      <c r="G9" s="51">
        <f t="shared" si="1"/>
        <v>0</v>
      </c>
    </row>
    <row r="10" spans="1:7" ht="47.25" thickBot="1" x14ac:dyDescent="0.3">
      <c r="A10" s="116"/>
      <c r="B10" s="43" t="s">
        <v>80</v>
      </c>
      <c r="C10" s="42"/>
      <c r="D10" s="9"/>
      <c r="E10" s="42"/>
      <c r="F10" s="9"/>
      <c r="G10" s="52">
        <f t="shared" si="1"/>
        <v>0</v>
      </c>
    </row>
    <row r="11" spans="1:7" ht="47.25" thickBot="1" x14ac:dyDescent="0.3">
      <c r="A11" s="116"/>
      <c r="B11" s="43" t="s">
        <v>81</v>
      </c>
      <c r="C11" s="42"/>
      <c r="D11" s="9"/>
      <c r="E11" s="42"/>
      <c r="F11" s="9"/>
      <c r="G11" s="52">
        <f t="shared" si="1"/>
        <v>0</v>
      </c>
    </row>
    <row r="12" spans="1:7" ht="47.25" thickBot="1" x14ac:dyDescent="0.3">
      <c r="A12" s="116"/>
      <c r="B12" s="58" t="s">
        <v>82</v>
      </c>
      <c r="C12" s="53"/>
      <c r="D12" s="24"/>
      <c r="E12" s="53"/>
      <c r="F12" s="24"/>
      <c r="G12" s="54">
        <f t="shared" si="1"/>
        <v>0</v>
      </c>
    </row>
    <row r="13" spans="1:7" ht="47.25" thickBot="1" x14ac:dyDescent="0.3">
      <c r="A13" s="116" t="s">
        <v>68</v>
      </c>
      <c r="B13" s="55" t="s">
        <v>79</v>
      </c>
      <c r="C13" s="50"/>
      <c r="D13" s="16"/>
      <c r="E13" s="50"/>
      <c r="F13" s="16"/>
      <c r="G13" s="51">
        <f t="shared" si="1"/>
        <v>0</v>
      </c>
    </row>
    <row r="14" spans="1:7" ht="47.25" thickBot="1" x14ac:dyDescent="0.3">
      <c r="A14" s="116"/>
      <c r="B14" s="43" t="s">
        <v>80</v>
      </c>
      <c r="C14" s="42"/>
      <c r="D14" s="9"/>
      <c r="E14" s="42"/>
      <c r="F14" s="9"/>
      <c r="G14" s="52">
        <f t="shared" si="1"/>
        <v>0</v>
      </c>
    </row>
    <row r="15" spans="1:7" ht="47.25" thickBot="1" x14ac:dyDescent="0.3">
      <c r="A15" s="116"/>
      <c r="B15" s="43" t="s">
        <v>81</v>
      </c>
      <c r="C15" s="42"/>
      <c r="D15" s="9"/>
      <c r="E15" s="42"/>
      <c r="F15" s="9"/>
      <c r="G15" s="52">
        <f t="shared" si="1"/>
        <v>0</v>
      </c>
    </row>
    <row r="16" spans="1:7" ht="47.25" thickBot="1" x14ac:dyDescent="0.3">
      <c r="A16" s="116"/>
      <c r="B16" s="58" t="s">
        <v>82</v>
      </c>
      <c r="C16" s="53"/>
      <c r="D16" s="24"/>
      <c r="E16" s="53"/>
      <c r="F16" s="24"/>
      <c r="G16" s="54">
        <f t="shared" si="1"/>
        <v>0</v>
      </c>
    </row>
    <row r="17" spans="1:7" ht="47.25" thickBot="1" x14ac:dyDescent="0.3">
      <c r="A17" s="116" t="s">
        <v>69</v>
      </c>
      <c r="B17" s="55" t="s">
        <v>79</v>
      </c>
      <c r="C17" s="50"/>
      <c r="D17" s="16"/>
      <c r="E17" s="50"/>
      <c r="F17" s="16"/>
      <c r="G17" s="51">
        <f t="shared" si="1"/>
        <v>0</v>
      </c>
    </row>
    <row r="18" spans="1:7" ht="47.25" thickBot="1" x14ac:dyDescent="0.3">
      <c r="A18" s="116"/>
      <c r="B18" s="43" t="s">
        <v>80</v>
      </c>
      <c r="C18" s="42"/>
      <c r="D18" s="9"/>
      <c r="E18" s="42"/>
      <c r="F18" s="9"/>
      <c r="G18" s="52">
        <f t="shared" si="1"/>
        <v>0</v>
      </c>
    </row>
    <row r="19" spans="1:7" ht="47.25" thickBot="1" x14ac:dyDescent="0.3">
      <c r="A19" s="116"/>
      <c r="B19" s="43" t="s">
        <v>81</v>
      </c>
      <c r="C19" s="42"/>
      <c r="D19" s="9"/>
      <c r="E19" s="42"/>
      <c r="F19" s="9"/>
      <c r="G19" s="52">
        <f t="shared" si="1"/>
        <v>0</v>
      </c>
    </row>
    <row r="20" spans="1:7" ht="47.25" thickBot="1" x14ac:dyDescent="0.3">
      <c r="A20" s="116"/>
      <c r="B20" s="58" t="s">
        <v>82</v>
      </c>
      <c r="C20" s="53"/>
      <c r="D20" s="24"/>
      <c r="E20" s="53"/>
      <c r="F20" s="24"/>
      <c r="G20" s="54">
        <f t="shared" si="1"/>
        <v>0</v>
      </c>
    </row>
    <row r="21" spans="1:7" ht="47.25" thickBot="1" x14ac:dyDescent="0.3">
      <c r="A21" s="116" t="s">
        <v>70</v>
      </c>
      <c r="B21" s="55" t="s">
        <v>79</v>
      </c>
      <c r="C21" s="50"/>
      <c r="D21" s="16"/>
      <c r="E21" s="50"/>
      <c r="F21" s="16"/>
      <c r="G21" s="51">
        <f t="shared" si="1"/>
        <v>0</v>
      </c>
    </row>
    <row r="22" spans="1:7" ht="47.25" thickBot="1" x14ac:dyDescent="0.3">
      <c r="A22" s="116"/>
      <c r="B22" s="43" t="s">
        <v>80</v>
      </c>
      <c r="C22" s="42"/>
      <c r="D22" s="9"/>
      <c r="E22" s="42"/>
      <c r="F22" s="9"/>
      <c r="G22" s="52">
        <f t="shared" si="1"/>
        <v>0</v>
      </c>
    </row>
    <row r="23" spans="1:7" ht="47.25" thickBot="1" x14ac:dyDescent="0.3">
      <c r="A23" s="116"/>
      <c r="B23" s="43" t="s">
        <v>81</v>
      </c>
      <c r="C23" s="42"/>
      <c r="D23" s="9"/>
      <c r="E23" s="42"/>
      <c r="F23" s="9"/>
      <c r="G23" s="52">
        <f t="shared" si="1"/>
        <v>0</v>
      </c>
    </row>
    <row r="24" spans="1:7" ht="47.25" thickBot="1" x14ac:dyDescent="0.3">
      <c r="A24" s="116"/>
      <c r="B24" s="58" t="s">
        <v>82</v>
      </c>
      <c r="C24" s="53"/>
      <c r="D24" s="24"/>
      <c r="E24" s="53"/>
      <c r="F24" s="24"/>
      <c r="G24" s="54">
        <f t="shared" si="1"/>
        <v>0</v>
      </c>
    </row>
    <row r="25" spans="1:7" ht="47.25" thickBot="1" x14ac:dyDescent="0.3">
      <c r="A25" s="116" t="s">
        <v>71</v>
      </c>
      <c r="B25" s="55" t="s">
        <v>79</v>
      </c>
      <c r="C25" s="50"/>
      <c r="D25" s="16"/>
      <c r="E25" s="50"/>
      <c r="F25" s="16"/>
      <c r="G25" s="51">
        <f t="shared" si="1"/>
        <v>0</v>
      </c>
    </row>
    <row r="26" spans="1:7" ht="47.25" thickBot="1" x14ac:dyDescent="0.3">
      <c r="A26" s="116"/>
      <c r="B26" s="43" t="s">
        <v>80</v>
      </c>
      <c r="C26" s="42"/>
      <c r="D26" s="9"/>
      <c r="E26" s="42"/>
      <c r="F26" s="9"/>
      <c r="G26" s="52">
        <f t="shared" si="1"/>
        <v>0</v>
      </c>
    </row>
    <row r="27" spans="1:7" ht="47.25" thickBot="1" x14ac:dyDescent="0.3">
      <c r="A27" s="116"/>
      <c r="B27" s="43" t="s">
        <v>81</v>
      </c>
      <c r="C27" s="42"/>
      <c r="D27" s="9"/>
      <c r="E27" s="42"/>
      <c r="F27" s="9"/>
      <c r="G27" s="52">
        <f t="shared" si="1"/>
        <v>0</v>
      </c>
    </row>
    <row r="28" spans="1:7" ht="47.25" thickBot="1" x14ac:dyDescent="0.3">
      <c r="A28" s="116"/>
      <c r="B28" s="58" t="s">
        <v>82</v>
      </c>
      <c r="C28" s="53"/>
      <c r="D28" s="24"/>
      <c r="E28" s="53"/>
      <c r="F28" s="24"/>
      <c r="G28" s="54">
        <f t="shared" si="1"/>
        <v>0</v>
      </c>
    </row>
    <row r="29" spans="1:7" ht="47.25" thickBot="1" x14ac:dyDescent="0.3">
      <c r="A29" s="116" t="s">
        <v>72</v>
      </c>
      <c r="B29" s="55" t="s">
        <v>79</v>
      </c>
      <c r="C29" s="50"/>
      <c r="D29" s="16"/>
      <c r="E29" s="50"/>
      <c r="F29" s="16"/>
      <c r="G29" s="51">
        <f t="shared" si="1"/>
        <v>0</v>
      </c>
    </row>
    <row r="30" spans="1:7" ht="47.25" thickBot="1" x14ac:dyDescent="0.3">
      <c r="A30" s="116"/>
      <c r="B30" s="43" t="s">
        <v>80</v>
      </c>
      <c r="C30" s="42"/>
      <c r="D30" s="9"/>
      <c r="E30" s="42"/>
      <c r="F30" s="9"/>
      <c r="G30" s="52">
        <f t="shared" si="1"/>
        <v>0</v>
      </c>
    </row>
    <row r="31" spans="1:7" ht="47.25" thickBot="1" x14ac:dyDescent="0.3">
      <c r="A31" s="116"/>
      <c r="B31" s="43" t="s">
        <v>81</v>
      </c>
      <c r="C31" s="42"/>
      <c r="D31" s="9"/>
      <c r="E31" s="42"/>
      <c r="F31" s="9"/>
      <c r="G31" s="52">
        <f t="shared" si="1"/>
        <v>0</v>
      </c>
    </row>
    <row r="32" spans="1:7" ht="47.25" thickBot="1" x14ac:dyDescent="0.3">
      <c r="A32" s="116"/>
      <c r="B32" s="58" t="s">
        <v>82</v>
      </c>
      <c r="C32" s="53"/>
      <c r="D32" s="24"/>
      <c r="E32" s="53"/>
      <c r="F32" s="24"/>
      <c r="G32" s="54">
        <f t="shared" si="1"/>
        <v>0</v>
      </c>
    </row>
    <row r="33" spans="1:7" ht="47.25" thickBot="1" x14ac:dyDescent="0.3">
      <c r="A33" s="116" t="s">
        <v>73</v>
      </c>
      <c r="B33" s="55" t="s">
        <v>79</v>
      </c>
      <c r="C33" s="50"/>
      <c r="D33" s="16"/>
      <c r="E33" s="50"/>
      <c r="F33" s="16"/>
      <c r="G33" s="51">
        <f t="shared" si="1"/>
        <v>0</v>
      </c>
    </row>
    <row r="34" spans="1:7" ht="47.25" thickBot="1" x14ac:dyDescent="0.3">
      <c r="A34" s="116"/>
      <c r="B34" s="43" t="s">
        <v>80</v>
      </c>
      <c r="C34" s="42"/>
      <c r="D34" s="9"/>
      <c r="E34" s="42"/>
      <c r="F34" s="9"/>
      <c r="G34" s="52">
        <f t="shared" si="1"/>
        <v>0</v>
      </c>
    </row>
    <row r="35" spans="1:7" ht="47.25" thickBot="1" x14ac:dyDescent="0.3">
      <c r="A35" s="116"/>
      <c r="B35" s="43" t="s">
        <v>81</v>
      </c>
      <c r="C35" s="42"/>
      <c r="D35" s="9"/>
      <c r="E35" s="42"/>
      <c r="F35" s="9"/>
      <c r="G35" s="52">
        <f t="shared" si="1"/>
        <v>0</v>
      </c>
    </row>
    <row r="36" spans="1:7" ht="47.25" thickBot="1" x14ac:dyDescent="0.3">
      <c r="A36" s="116"/>
      <c r="B36" s="58" t="s">
        <v>82</v>
      </c>
      <c r="C36" s="53"/>
      <c r="D36" s="24"/>
      <c r="E36" s="53"/>
      <c r="F36" s="24"/>
      <c r="G36" s="54">
        <f t="shared" ref="G36:G56" si="2">SUM(D36:F36)</f>
        <v>0</v>
      </c>
    </row>
    <row r="37" spans="1:7" ht="47.25" thickBot="1" x14ac:dyDescent="0.3">
      <c r="A37" s="116" t="s">
        <v>74</v>
      </c>
      <c r="B37" s="55" t="s">
        <v>79</v>
      </c>
      <c r="C37" s="50"/>
      <c r="D37" s="16"/>
      <c r="E37" s="50"/>
      <c r="F37" s="16"/>
      <c r="G37" s="51">
        <f t="shared" si="2"/>
        <v>0</v>
      </c>
    </row>
    <row r="38" spans="1:7" ht="47.25" thickBot="1" x14ac:dyDescent="0.3">
      <c r="A38" s="116"/>
      <c r="B38" s="43" t="s">
        <v>80</v>
      </c>
      <c r="C38" s="42"/>
      <c r="D38" s="9"/>
      <c r="E38" s="42"/>
      <c r="F38" s="9"/>
      <c r="G38" s="52">
        <f t="shared" si="2"/>
        <v>0</v>
      </c>
    </row>
    <row r="39" spans="1:7" ht="47.25" thickBot="1" x14ac:dyDescent="0.3">
      <c r="A39" s="116"/>
      <c r="B39" s="43" t="s">
        <v>81</v>
      </c>
      <c r="C39" s="42"/>
      <c r="D39" s="9"/>
      <c r="E39" s="42"/>
      <c r="F39" s="9"/>
      <c r="G39" s="52">
        <f t="shared" si="2"/>
        <v>0</v>
      </c>
    </row>
    <row r="40" spans="1:7" ht="47.25" thickBot="1" x14ac:dyDescent="0.3">
      <c r="A40" s="116"/>
      <c r="B40" s="58" t="s">
        <v>82</v>
      </c>
      <c r="C40" s="53"/>
      <c r="D40" s="24"/>
      <c r="E40" s="53"/>
      <c r="F40" s="24"/>
      <c r="G40" s="54">
        <f t="shared" si="2"/>
        <v>0</v>
      </c>
    </row>
    <row r="41" spans="1:7" ht="47.25" thickBot="1" x14ac:dyDescent="0.3">
      <c r="A41" s="116" t="s">
        <v>75</v>
      </c>
      <c r="B41" s="55" t="s">
        <v>79</v>
      </c>
      <c r="C41" s="50"/>
      <c r="D41" s="16"/>
      <c r="E41" s="50"/>
      <c r="F41" s="16"/>
      <c r="G41" s="51">
        <f t="shared" si="2"/>
        <v>0</v>
      </c>
    </row>
    <row r="42" spans="1:7" ht="47.25" thickBot="1" x14ac:dyDescent="0.3">
      <c r="A42" s="116"/>
      <c r="B42" s="43" t="s">
        <v>80</v>
      </c>
      <c r="C42" s="42"/>
      <c r="D42" s="9"/>
      <c r="E42" s="42"/>
      <c r="F42" s="9"/>
      <c r="G42" s="52">
        <f t="shared" si="2"/>
        <v>0</v>
      </c>
    </row>
    <row r="43" spans="1:7" ht="47.25" thickBot="1" x14ac:dyDescent="0.3">
      <c r="A43" s="116"/>
      <c r="B43" s="43" t="s">
        <v>81</v>
      </c>
      <c r="C43" s="42"/>
      <c r="D43" s="9"/>
      <c r="E43" s="42"/>
      <c r="F43" s="9"/>
      <c r="G43" s="52">
        <f t="shared" si="2"/>
        <v>0</v>
      </c>
    </row>
    <row r="44" spans="1:7" ht="47.25" thickBot="1" x14ac:dyDescent="0.3">
      <c r="A44" s="116"/>
      <c r="B44" s="58" t="s">
        <v>82</v>
      </c>
      <c r="C44" s="53"/>
      <c r="D44" s="24"/>
      <c r="E44" s="53"/>
      <c r="F44" s="24"/>
      <c r="G44" s="54">
        <f t="shared" si="2"/>
        <v>0</v>
      </c>
    </row>
    <row r="45" spans="1:7" ht="47.25" thickBot="1" x14ac:dyDescent="0.3">
      <c r="A45" s="116" t="s">
        <v>76</v>
      </c>
      <c r="B45" s="55" t="s">
        <v>79</v>
      </c>
      <c r="C45" s="50"/>
      <c r="D45" s="16"/>
      <c r="E45" s="50"/>
      <c r="F45" s="16"/>
      <c r="G45" s="51">
        <f t="shared" si="2"/>
        <v>0</v>
      </c>
    </row>
    <row r="46" spans="1:7" ht="47.25" thickBot="1" x14ac:dyDescent="0.3">
      <c r="A46" s="116"/>
      <c r="B46" s="43" t="s">
        <v>80</v>
      </c>
      <c r="C46" s="42"/>
      <c r="D46" s="9"/>
      <c r="E46" s="42"/>
      <c r="F46" s="9"/>
      <c r="G46" s="52">
        <f t="shared" si="2"/>
        <v>0</v>
      </c>
    </row>
    <row r="47" spans="1:7" ht="47.25" thickBot="1" x14ac:dyDescent="0.3">
      <c r="A47" s="116"/>
      <c r="B47" s="43" t="s">
        <v>81</v>
      </c>
      <c r="C47" s="42"/>
      <c r="D47" s="9"/>
      <c r="E47" s="42"/>
      <c r="F47" s="9"/>
      <c r="G47" s="52">
        <f t="shared" si="2"/>
        <v>0</v>
      </c>
    </row>
    <row r="48" spans="1:7" ht="47.25" thickBot="1" x14ac:dyDescent="0.3">
      <c r="A48" s="116"/>
      <c r="B48" s="58" t="s">
        <v>82</v>
      </c>
      <c r="C48" s="53"/>
      <c r="D48" s="24"/>
      <c r="E48" s="53"/>
      <c r="F48" s="24"/>
      <c r="G48" s="54">
        <f t="shared" si="2"/>
        <v>0</v>
      </c>
    </row>
    <row r="49" spans="1:7" ht="47.25" thickBot="1" x14ac:dyDescent="0.3">
      <c r="A49" s="116" t="s">
        <v>77</v>
      </c>
      <c r="B49" s="55" t="s">
        <v>79</v>
      </c>
      <c r="C49" s="50"/>
      <c r="D49" s="16"/>
      <c r="E49" s="50"/>
      <c r="F49" s="16"/>
      <c r="G49" s="51">
        <f t="shared" si="2"/>
        <v>0</v>
      </c>
    </row>
    <row r="50" spans="1:7" ht="47.25" thickBot="1" x14ac:dyDescent="0.3">
      <c r="A50" s="116"/>
      <c r="B50" s="43" t="s">
        <v>80</v>
      </c>
      <c r="C50" s="42"/>
      <c r="D50" s="9"/>
      <c r="E50" s="42"/>
      <c r="F50" s="9"/>
      <c r="G50" s="52">
        <f t="shared" si="2"/>
        <v>0</v>
      </c>
    </row>
    <row r="51" spans="1:7" ht="47.25" thickBot="1" x14ac:dyDescent="0.3">
      <c r="A51" s="116"/>
      <c r="B51" s="43" t="s">
        <v>81</v>
      </c>
      <c r="C51" s="42"/>
      <c r="D51" s="9"/>
      <c r="E51" s="42"/>
      <c r="F51" s="9"/>
      <c r="G51" s="52">
        <f t="shared" si="2"/>
        <v>0</v>
      </c>
    </row>
    <row r="52" spans="1:7" ht="47.25" thickBot="1" x14ac:dyDescent="0.3">
      <c r="A52" s="116"/>
      <c r="B52" s="58" t="s">
        <v>82</v>
      </c>
      <c r="C52" s="48"/>
      <c r="D52" s="47"/>
      <c r="E52" s="48"/>
      <c r="F52" s="47"/>
      <c r="G52" s="64">
        <f t="shared" si="2"/>
        <v>0</v>
      </c>
    </row>
    <row r="53" spans="1:7" ht="47.25" thickBot="1" x14ac:dyDescent="0.3">
      <c r="A53" s="116" t="s">
        <v>78</v>
      </c>
      <c r="B53" s="59" t="s">
        <v>79</v>
      </c>
      <c r="C53" s="62">
        <v>365</v>
      </c>
      <c r="D53" s="15">
        <f>D5+D9+D13+D17+D21+D25+D29+D33+D37+D41+D45+D49</f>
        <v>0</v>
      </c>
      <c r="E53" s="50">
        <f>E5+E9+E13+E17+E21+E25+E29+E33+E37+E41+E45+E49</f>
        <v>0</v>
      </c>
      <c r="F53" s="16">
        <f>F5+F9+F13+F17+F21+F25+F29+F33+F37+F41+F45+F49</f>
        <v>0</v>
      </c>
      <c r="G53" s="65">
        <f t="shared" si="2"/>
        <v>0</v>
      </c>
    </row>
    <row r="54" spans="1:7" ht="47.25" thickBot="1" x14ac:dyDescent="0.3">
      <c r="A54" s="116"/>
      <c r="B54" s="60" t="s">
        <v>80</v>
      </c>
      <c r="C54" s="63">
        <f>C6+C10+C14+C18+C22+C26+C30+C34+C38+C42+C46+C50</f>
        <v>0</v>
      </c>
      <c r="D54" s="61">
        <f t="shared" ref="D54:F56" si="3">D6+D10+D14+D18+D22+D26+D30+D34+D38+D42+D46+D50</f>
        <v>0</v>
      </c>
      <c r="E54" s="42">
        <f t="shared" si="3"/>
        <v>0</v>
      </c>
      <c r="F54" s="9">
        <f t="shared" si="3"/>
        <v>0</v>
      </c>
      <c r="G54" s="66">
        <f t="shared" si="2"/>
        <v>0</v>
      </c>
    </row>
    <row r="55" spans="1:7" ht="47.25" thickBot="1" x14ac:dyDescent="0.3">
      <c r="A55" s="116"/>
      <c r="B55" s="60" t="s">
        <v>81</v>
      </c>
      <c r="C55" s="63">
        <f>C7+C11+C15+C19+C23+C27+C31+C35+C39+C43+C47+C51</f>
        <v>0</v>
      </c>
      <c r="D55" s="61">
        <f t="shared" si="3"/>
        <v>0</v>
      </c>
      <c r="E55" s="42">
        <f t="shared" si="3"/>
        <v>0</v>
      </c>
      <c r="F55" s="9">
        <f t="shared" si="3"/>
        <v>0</v>
      </c>
      <c r="G55" s="66">
        <f t="shared" si="2"/>
        <v>0</v>
      </c>
    </row>
    <row r="56" spans="1:7" ht="47.25" thickBot="1" x14ac:dyDescent="0.3">
      <c r="A56" s="113"/>
      <c r="B56" s="67" t="s">
        <v>83</v>
      </c>
      <c r="C56" s="69">
        <f>C8+C12+C16+C20+C24+C28+C32+C36+C40+C44+C48+C52</f>
        <v>0</v>
      </c>
      <c r="D56" s="68">
        <f t="shared" si="3"/>
        <v>0</v>
      </c>
      <c r="E56" s="48">
        <f t="shared" si="3"/>
        <v>0</v>
      </c>
      <c r="F56" s="47">
        <f t="shared" si="3"/>
        <v>0</v>
      </c>
      <c r="G56" s="70">
        <f t="shared" si="2"/>
        <v>0</v>
      </c>
    </row>
    <row r="57" spans="1:7" ht="46.5" x14ac:dyDescent="0.25">
      <c r="A57" s="110" t="s">
        <v>96</v>
      </c>
      <c r="B57" s="78" t="s">
        <v>84</v>
      </c>
      <c r="C57" s="79">
        <f>IF(C4*2/365*C53&gt;=159248520,159248520,C4*2/365*C53)</f>
        <v>143323680</v>
      </c>
      <c r="D57" s="80">
        <f t="shared" ref="D57:F57" si="4">IF(D4*2/365*D53&gt;=159248520,159248520,D4*2/365*D53)</f>
        <v>0</v>
      </c>
      <c r="E57" s="81">
        <f t="shared" si="4"/>
        <v>0</v>
      </c>
      <c r="F57" s="82">
        <f t="shared" si="4"/>
        <v>0</v>
      </c>
      <c r="G57" s="83"/>
    </row>
    <row r="58" spans="1:7" ht="46.5" x14ac:dyDescent="0.25">
      <c r="A58" s="111"/>
      <c r="B58" s="72" t="s">
        <v>85</v>
      </c>
      <c r="C58" s="73">
        <f>C4/365*C53</f>
        <v>71661840</v>
      </c>
      <c r="D58" s="74">
        <f t="shared" ref="D58:F58" si="5">D4/365*D53</f>
        <v>0</v>
      </c>
      <c r="E58" s="75">
        <f t="shared" si="5"/>
        <v>0</v>
      </c>
      <c r="F58" s="76">
        <f t="shared" si="5"/>
        <v>0</v>
      </c>
      <c r="G58" s="77"/>
    </row>
    <row r="59" spans="1:7" ht="46.5" x14ac:dyDescent="0.25">
      <c r="A59" s="111"/>
      <c r="B59" s="72" t="s">
        <v>86</v>
      </c>
      <c r="C59" s="73">
        <f>C55+C57</f>
        <v>143323680</v>
      </c>
      <c r="D59" s="74">
        <f t="shared" ref="D59:F59" si="6">D55+D57</f>
        <v>0</v>
      </c>
      <c r="E59" s="75">
        <f t="shared" si="6"/>
        <v>0</v>
      </c>
      <c r="F59" s="76">
        <f t="shared" si="6"/>
        <v>0</v>
      </c>
      <c r="G59" s="77"/>
    </row>
    <row r="60" spans="1:7" ht="46.5" x14ac:dyDescent="0.25">
      <c r="A60" s="111"/>
      <c r="B60" s="72" t="s">
        <v>87</v>
      </c>
      <c r="C60" s="73">
        <f>1200000000/12*13/365*C53</f>
        <v>1300000000</v>
      </c>
      <c r="D60" s="74">
        <f t="shared" ref="D60:F60" si="7">1200000000/12/365*D53</f>
        <v>0</v>
      </c>
      <c r="E60" s="75">
        <f t="shared" si="7"/>
        <v>0</v>
      </c>
      <c r="F60" s="76">
        <f t="shared" si="7"/>
        <v>0</v>
      </c>
      <c r="G60" s="77"/>
    </row>
    <row r="61" spans="1:7" ht="46.5" x14ac:dyDescent="0.25">
      <c r="A61" s="111"/>
      <c r="B61" s="72" t="s">
        <v>88</v>
      </c>
      <c r="C61" s="73"/>
      <c r="D61" s="74"/>
      <c r="E61" s="75"/>
      <c r="F61" s="76"/>
      <c r="G61" s="77"/>
    </row>
    <row r="62" spans="1:7" ht="46.5" x14ac:dyDescent="0.25">
      <c r="A62" s="111"/>
      <c r="B62" s="72" t="s">
        <v>24</v>
      </c>
      <c r="C62" s="73"/>
      <c r="D62" s="74"/>
      <c r="E62" s="75"/>
      <c r="F62" s="76"/>
      <c r="G62" s="77"/>
    </row>
    <row r="63" spans="1:7" ht="46.5" x14ac:dyDescent="0.25">
      <c r="A63" s="111"/>
      <c r="B63" s="72" t="s">
        <v>89</v>
      </c>
      <c r="C63" s="73"/>
      <c r="D63" s="74"/>
      <c r="E63" s="75"/>
      <c r="F63" s="76"/>
      <c r="G63" s="77"/>
    </row>
    <row r="64" spans="1:7" ht="46.5" x14ac:dyDescent="0.25">
      <c r="A64" s="111"/>
      <c r="B64" s="72" t="s">
        <v>90</v>
      </c>
      <c r="C64" s="73"/>
      <c r="D64" s="74"/>
      <c r="E64" s="75"/>
      <c r="F64" s="76"/>
      <c r="G64" s="77"/>
    </row>
    <row r="65" spans="1:7" ht="46.5" x14ac:dyDescent="0.25">
      <c r="A65" s="111"/>
      <c r="B65" s="72" t="s">
        <v>91</v>
      </c>
      <c r="C65" s="73"/>
      <c r="D65" s="74"/>
      <c r="E65" s="75"/>
      <c r="F65" s="76"/>
      <c r="G65" s="77"/>
    </row>
    <row r="66" spans="1:7" ht="46.5" x14ac:dyDescent="0.25">
      <c r="A66" s="111"/>
      <c r="B66" s="72" t="s">
        <v>92</v>
      </c>
      <c r="C66" s="73"/>
      <c r="D66" s="74"/>
      <c r="E66" s="75"/>
      <c r="F66" s="76"/>
      <c r="G66" s="77"/>
    </row>
    <row r="67" spans="1:7" ht="47.25" thickBot="1" x14ac:dyDescent="0.3">
      <c r="A67" s="112"/>
      <c r="B67" s="84" t="s">
        <v>93</v>
      </c>
      <c r="C67" s="85"/>
      <c r="D67" s="86"/>
      <c r="E67" s="87"/>
      <c r="F67" s="88"/>
      <c r="G67" s="89"/>
    </row>
    <row r="68" spans="1:7" ht="18.75" x14ac:dyDescent="0.25">
      <c r="B68" s="45"/>
    </row>
  </sheetData>
  <mergeCells count="15">
    <mergeCell ref="A57:A67"/>
    <mergeCell ref="A1:A4"/>
    <mergeCell ref="A53:A56"/>
    <mergeCell ref="A29:A32"/>
    <mergeCell ref="A33:A36"/>
    <mergeCell ref="A37:A40"/>
    <mergeCell ref="A41:A44"/>
    <mergeCell ref="A45:A48"/>
    <mergeCell ref="A49:A52"/>
    <mergeCell ref="A5:A8"/>
    <mergeCell ref="A9:A12"/>
    <mergeCell ref="A13:A16"/>
    <mergeCell ref="A17:A20"/>
    <mergeCell ref="A21:A24"/>
    <mergeCell ref="A25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کارکرد ماهانه خرداد 1403</vt:lpstr>
      <vt:lpstr>Sheet1</vt:lpstr>
      <vt:lpstr>Sheet2</vt:lpstr>
      <vt:lpstr>Sheet3</vt:lpstr>
      <vt:lpstr>فیش حقوقی</vt:lpstr>
      <vt:lpstr>مالیات عیدی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rahafarin</dc:creator>
  <cp:lastModifiedBy>fateme rezaei</cp:lastModifiedBy>
  <dcterms:created xsi:type="dcterms:W3CDTF">2022-10-21T02:20:38Z</dcterms:created>
  <dcterms:modified xsi:type="dcterms:W3CDTF">2024-08-08T15:23:15Z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99ef04667aea4ad6a2051753b324d9ab</vt:lpwstr>
  </property>
</Properties>
</file>